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NASSER\Downloads\Compressed\تصميم العناصر الخرسانية\"/>
    </mc:Choice>
  </mc:AlternateContent>
  <bookViews>
    <workbookView xWindow="360" yWindow="45" windowWidth="11295" windowHeight="6750" tabRatio="960" activeTab="2"/>
  </bookViews>
  <sheets>
    <sheet name="Intro" sheetId="5" r:id="rId1"/>
    <sheet name="Coeff" sheetId="10" r:id="rId2"/>
    <sheet name="Slabs" sheetId="4" r:id="rId3"/>
    <sheet name="Flat slab" sheetId="13" r:id="rId4"/>
    <sheet name="Beams" sheetId="1" r:id="rId5"/>
    <sheet name="M,N" sheetId="15" r:id="rId6"/>
    <sheet name="Shear" sheetId="2" r:id="rId7"/>
    <sheet name="Torsion" sheetId="6" r:id="rId8"/>
    <sheet name="Rec-col" sheetId="9" r:id="rId9"/>
    <sheet name="Cir-col" sheetId="16" r:id="rId10"/>
    <sheet name="Footings" sheetId="3" r:id="rId11"/>
    <sheet name="Foot-mom" sheetId="17" r:id="rId12"/>
    <sheet name="Combined" sheetId="11" r:id="rId13"/>
    <sheet name="Strap" sheetId="12" r:id="rId14"/>
    <sheet name="Walls" sheetId="14" r:id="rId15"/>
    <sheet name="Cantilevers" sheetId="7" r:id="rId16"/>
    <sheet name="Simples" sheetId="8" r:id="rId17"/>
  </sheets>
  <definedNames>
    <definedName name="_xlnm.Print_Area" localSheetId="12">Combined!$A$1:$I$50</definedName>
    <definedName name="_xlnm.Print_Area" localSheetId="10">Footings!$A$1:$I$38</definedName>
    <definedName name="_xlnm.Print_Area" localSheetId="11">'Foot-mom'!$A$1:$I$41</definedName>
    <definedName name="_xlnm.Print_Area" localSheetId="0">Intro!$1:$1048576</definedName>
    <definedName name="_xlnm.Print_Area" localSheetId="5">'M,N'!$A$1:$O$46</definedName>
    <definedName name="_xlnm.Print_Area" localSheetId="6">Shear!$A$1:$M$46</definedName>
    <definedName name="_xlnm.Print_Area" localSheetId="13">Strap!$A$1:$P$49</definedName>
  </definedNames>
  <calcPr calcId="152511"/>
</workbook>
</file>

<file path=xl/calcChain.xml><?xml version="1.0" encoding="utf-8"?>
<calcChain xmlns="http://schemas.openxmlformats.org/spreadsheetml/2006/main">
  <c r="G14" i="1" l="1"/>
  <c r="V14" i="1" s="1"/>
  <c r="G15" i="1"/>
  <c r="G16" i="1"/>
  <c r="G17" i="1"/>
  <c r="G18" i="1"/>
  <c r="G19" i="1"/>
  <c r="V19" i="1" s="1"/>
  <c r="G20" i="1"/>
  <c r="V20" i="1"/>
  <c r="G21" i="1"/>
  <c r="G22" i="1"/>
  <c r="G23" i="1"/>
  <c r="S23" i="1"/>
  <c r="G24" i="1"/>
  <c r="V24" i="1" s="1"/>
  <c r="G25" i="1"/>
  <c r="G26" i="1"/>
  <c r="G27" i="1"/>
  <c r="V27" i="1" s="1"/>
  <c r="G28" i="1"/>
  <c r="G29" i="1"/>
  <c r="G30" i="1"/>
  <c r="G31" i="1"/>
  <c r="S31" i="1"/>
  <c r="G32" i="1"/>
  <c r="S32" i="1" s="1"/>
  <c r="G33" i="1"/>
  <c r="G34" i="1"/>
  <c r="G35" i="1"/>
  <c r="V35" i="1" s="1"/>
  <c r="G36" i="1"/>
  <c r="S36" i="1" s="1"/>
  <c r="G37" i="1"/>
  <c r="G38" i="1"/>
  <c r="G39" i="1"/>
  <c r="G40" i="1"/>
  <c r="G41" i="1"/>
  <c r="S41" i="1" s="1"/>
  <c r="G42" i="1"/>
  <c r="V42" i="1" s="1"/>
  <c r="G43" i="1"/>
  <c r="V43" i="1" s="1"/>
  <c r="G44" i="1"/>
  <c r="S44" i="1" s="1"/>
  <c r="G45" i="1"/>
  <c r="G46" i="1"/>
  <c r="G13" i="1"/>
  <c r="S13" i="1" s="1"/>
  <c r="D14" i="1"/>
  <c r="D15" i="1"/>
  <c r="D16" i="1"/>
  <c r="D17" i="1"/>
  <c r="D18" i="1"/>
  <c r="D19" i="1"/>
  <c r="D20" i="1"/>
  <c r="D21" i="1"/>
  <c r="H21" i="1" s="1"/>
  <c r="D22" i="1"/>
  <c r="H22" i="1" s="1"/>
  <c r="D23" i="1"/>
  <c r="D24" i="1"/>
  <c r="H24" i="1" s="1"/>
  <c r="R24" i="1" s="1"/>
  <c r="I24" i="1" s="1"/>
  <c r="J24" i="1" s="1"/>
  <c r="D25" i="1"/>
  <c r="D26" i="1"/>
  <c r="D27" i="1"/>
  <c r="D28" i="1"/>
  <c r="D29" i="1"/>
  <c r="D30" i="1"/>
  <c r="H30" i="1"/>
  <c r="D31" i="1"/>
  <c r="D32" i="1"/>
  <c r="D33" i="1"/>
  <c r="D34" i="1"/>
  <c r="H34" i="1"/>
  <c r="D35" i="1"/>
  <c r="D36" i="1"/>
  <c r="H36" i="1" s="1"/>
  <c r="D37" i="1"/>
  <c r="D38" i="1"/>
  <c r="H38" i="1" s="1"/>
  <c r="W38" i="1" s="1"/>
  <c r="P38" i="1" s="1"/>
  <c r="D39" i="1"/>
  <c r="H39" i="1" s="1"/>
  <c r="D40" i="1"/>
  <c r="D41" i="1"/>
  <c r="D42" i="1"/>
  <c r="H42" i="1" s="1"/>
  <c r="R42" i="1" s="1"/>
  <c r="I42" i="1" s="1"/>
  <c r="J42" i="1" s="1"/>
  <c r="D43" i="1"/>
  <c r="D44" i="1"/>
  <c r="D45" i="1"/>
  <c r="D46" i="1"/>
  <c r="H46" i="1" s="1"/>
  <c r="D13" i="1"/>
  <c r="V13" i="1"/>
  <c r="H14" i="1"/>
  <c r="R14" i="1" s="1"/>
  <c r="I14" i="1" s="1"/>
  <c r="J14" i="1"/>
  <c r="S14" i="1"/>
  <c r="H16" i="1"/>
  <c r="W16" i="1"/>
  <c r="P16" i="1" s="1"/>
  <c r="S16" i="1"/>
  <c r="V16" i="1"/>
  <c r="V17" i="1"/>
  <c r="S18" i="1"/>
  <c r="R21" i="1"/>
  <c r="I21" i="1"/>
  <c r="J21" i="1" s="1"/>
  <c r="S21" i="1"/>
  <c r="V21" i="1"/>
  <c r="S22" i="1"/>
  <c r="V22" i="1"/>
  <c r="S24" i="1"/>
  <c r="H25" i="1"/>
  <c r="R25" i="1" s="1"/>
  <c r="I25" i="1" s="1"/>
  <c r="J25" i="1" s="1"/>
  <c r="S25" i="1"/>
  <c r="V25" i="1"/>
  <c r="S27" i="1"/>
  <c r="S28" i="1"/>
  <c r="H29" i="1"/>
  <c r="S29" i="1"/>
  <c r="V29" i="1"/>
  <c r="S30" i="1"/>
  <c r="V30" i="1"/>
  <c r="H32" i="1"/>
  <c r="V32" i="1"/>
  <c r="V33" i="1"/>
  <c r="S34" i="1"/>
  <c r="V34" i="1"/>
  <c r="S35" i="1"/>
  <c r="H37" i="1"/>
  <c r="S37" i="1"/>
  <c r="V37" i="1"/>
  <c r="S38" i="1"/>
  <c r="V38" i="1"/>
  <c r="V39" i="1"/>
  <c r="S40" i="1"/>
  <c r="V40" i="1"/>
  <c r="H41" i="1"/>
  <c r="W41" i="1"/>
  <c r="P41" i="1" s="1"/>
  <c r="V41" i="1"/>
  <c r="S42" i="1"/>
  <c r="H43" i="1"/>
  <c r="R43" i="1"/>
  <c r="I43" i="1" s="1"/>
  <c r="J43" i="1" s="1"/>
  <c r="H45" i="1"/>
  <c r="S45" i="1"/>
  <c r="V45" i="1"/>
  <c r="S46" i="1"/>
  <c r="V46" i="1"/>
  <c r="K14" i="7"/>
  <c r="L14" i="7"/>
  <c r="K16" i="7"/>
  <c r="L16" i="7"/>
  <c r="K18" i="7"/>
  <c r="K19" i="7"/>
  <c r="G21" i="7"/>
  <c r="G24" i="7"/>
  <c r="K27" i="7"/>
  <c r="L27" i="7"/>
  <c r="D35" i="7"/>
  <c r="I13" i="16"/>
  <c r="J13" i="16" s="1"/>
  <c r="K13" i="16" s="1"/>
  <c r="D13" i="16"/>
  <c r="E13" i="16"/>
  <c r="F13" i="16" s="1"/>
  <c r="I14" i="16"/>
  <c r="J14" i="16"/>
  <c r="K14" i="16"/>
  <c r="D14" i="16" s="1"/>
  <c r="E14" i="16" s="1"/>
  <c r="F14" i="16"/>
  <c r="I15" i="16"/>
  <c r="J15" i="16" s="1"/>
  <c r="K15" i="16"/>
  <c r="D15" i="16"/>
  <c r="E15" i="16" s="1"/>
  <c r="F15" i="16" s="1"/>
  <c r="I16" i="16"/>
  <c r="J16" i="16"/>
  <c r="K16" i="16"/>
  <c r="D16" i="16" s="1"/>
  <c r="E16" i="16" s="1"/>
  <c r="F16" i="16"/>
  <c r="I17" i="16"/>
  <c r="J17" i="16" s="1"/>
  <c r="K17" i="16" s="1"/>
  <c r="D17" i="16"/>
  <c r="E17" i="16"/>
  <c r="F17" i="16" s="1"/>
  <c r="I18" i="16"/>
  <c r="J18" i="16"/>
  <c r="K18" i="16"/>
  <c r="D18" i="16" s="1"/>
  <c r="E18" i="16" s="1"/>
  <c r="F18" i="16"/>
  <c r="I19" i="16"/>
  <c r="J19" i="16"/>
  <c r="K19" i="16"/>
  <c r="D19" i="16" s="1"/>
  <c r="E19" i="16" s="1"/>
  <c r="F19" i="16" s="1"/>
  <c r="I20" i="16"/>
  <c r="J20" i="16"/>
  <c r="K20" i="16"/>
  <c r="D20" i="16" s="1"/>
  <c r="E20" i="16" s="1"/>
  <c r="F20" i="16"/>
  <c r="I21" i="16"/>
  <c r="J21" i="16"/>
  <c r="K21" i="16"/>
  <c r="D21" i="16" s="1"/>
  <c r="E21" i="16" s="1"/>
  <c r="F21" i="16" s="1"/>
  <c r="I22" i="16"/>
  <c r="J22" i="16" s="1"/>
  <c r="K22" i="16"/>
  <c r="D22" i="16" s="1"/>
  <c r="E22" i="16" s="1"/>
  <c r="F22" i="16" s="1"/>
  <c r="I23" i="16"/>
  <c r="J23" i="16" s="1"/>
  <c r="K23" i="16" s="1"/>
  <c r="D23" i="16" s="1"/>
  <c r="E23" i="16" s="1"/>
  <c r="F23" i="16" s="1"/>
  <c r="I24" i="16"/>
  <c r="J24" i="16"/>
  <c r="K24" i="16" s="1"/>
  <c r="D24" i="16" s="1"/>
  <c r="E24" i="16" s="1"/>
  <c r="F24" i="16" s="1"/>
  <c r="I25" i="16"/>
  <c r="J25" i="16" s="1"/>
  <c r="K25" i="16" s="1"/>
  <c r="D25" i="16"/>
  <c r="E25" i="16" s="1"/>
  <c r="F25" i="16" s="1"/>
  <c r="I26" i="16"/>
  <c r="J26" i="16"/>
  <c r="K26" i="16"/>
  <c r="D26" i="16" s="1"/>
  <c r="E26" i="16" s="1"/>
  <c r="F26" i="16" s="1"/>
  <c r="I27" i="16"/>
  <c r="J27" i="16" s="1"/>
  <c r="K27" i="16" s="1"/>
  <c r="D27" i="16"/>
  <c r="E27" i="16"/>
  <c r="F27" i="16" s="1"/>
  <c r="I28" i="16"/>
  <c r="J28" i="16" s="1"/>
  <c r="K28" i="16"/>
  <c r="D28" i="16" s="1"/>
  <c r="E28" i="16" s="1"/>
  <c r="F28" i="16" s="1"/>
  <c r="I29" i="16"/>
  <c r="J29" i="16" s="1"/>
  <c r="K29" i="16" s="1"/>
  <c r="D29" i="16"/>
  <c r="E29" i="16"/>
  <c r="F29" i="16" s="1"/>
  <c r="I30" i="16"/>
  <c r="J30" i="16"/>
  <c r="K30" i="16"/>
  <c r="D30" i="16" s="1"/>
  <c r="E30" i="16" s="1"/>
  <c r="F30" i="16"/>
  <c r="I31" i="16"/>
  <c r="J31" i="16" s="1"/>
  <c r="K31" i="16"/>
  <c r="D31" i="16"/>
  <c r="E31" i="16" s="1"/>
  <c r="F31" i="16" s="1"/>
  <c r="I32" i="16"/>
  <c r="J32" i="16"/>
  <c r="K32" i="16"/>
  <c r="D32" i="16" s="1"/>
  <c r="E32" i="16" s="1"/>
  <c r="F32" i="16"/>
  <c r="I33" i="16"/>
  <c r="J33" i="16" s="1"/>
  <c r="K33" i="16" s="1"/>
  <c r="D33" i="16" s="1"/>
  <c r="E33" i="16" s="1"/>
  <c r="F33" i="16" s="1"/>
  <c r="I34" i="16"/>
  <c r="J34" i="16"/>
  <c r="K34" i="16" s="1"/>
  <c r="D34" i="16" s="1"/>
  <c r="E34" i="16" s="1"/>
  <c r="F34" i="16" s="1"/>
  <c r="I35" i="16"/>
  <c r="J35" i="16"/>
  <c r="K35" i="16"/>
  <c r="D35" i="16" s="1"/>
  <c r="E35" i="16" s="1"/>
  <c r="F35" i="16" s="1"/>
  <c r="I36" i="16"/>
  <c r="J36" i="16"/>
  <c r="K36" i="16" s="1"/>
  <c r="D36" i="16" s="1"/>
  <c r="E36" i="16" s="1"/>
  <c r="F36" i="16" s="1"/>
  <c r="I37" i="16"/>
  <c r="J37" i="16"/>
  <c r="K37" i="16"/>
  <c r="D37" i="16" s="1"/>
  <c r="E37" i="16" s="1"/>
  <c r="F37" i="16" s="1"/>
  <c r="I38" i="16"/>
  <c r="J38" i="16"/>
  <c r="K38" i="16"/>
  <c r="D38" i="16" s="1"/>
  <c r="E38" i="16" s="1"/>
  <c r="F38" i="16" s="1"/>
  <c r="I39" i="16"/>
  <c r="J39" i="16" s="1"/>
  <c r="K39" i="16" s="1"/>
  <c r="D39" i="16" s="1"/>
  <c r="E39" i="16" s="1"/>
  <c r="F39" i="16" s="1"/>
  <c r="I40" i="16"/>
  <c r="J40" i="16"/>
  <c r="K40" i="16" s="1"/>
  <c r="D40" i="16" s="1"/>
  <c r="E40" i="16" s="1"/>
  <c r="F40" i="16" s="1"/>
  <c r="I41" i="16"/>
  <c r="J41" i="16" s="1"/>
  <c r="K41" i="16" s="1"/>
  <c r="D41" i="16"/>
  <c r="E41" i="16" s="1"/>
  <c r="F41" i="16" s="1"/>
  <c r="I42" i="16"/>
  <c r="J42" i="16"/>
  <c r="K42" i="16"/>
  <c r="D42" i="16" s="1"/>
  <c r="E42" i="16" s="1"/>
  <c r="F42" i="16" s="1"/>
  <c r="I43" i="16"/>
  <c r="J43" i="16" s="1"/>
  <c r="K43" i="16" s="1"/>
  <c r="D43" i="16"/>
  <c r="E43" i="16"/>
  <c r="F43" i="16" s="1"/>
  <c r="I44" i="16"/>
  <c r="J44" i="16"/>
  <c r="K44" i="16"/>
  <c r="D44" i="16" s="1"/>
  <c r="E44" i="16" s="1"/>
  <c r="F44" i="16" s="1"/>
  <c r="I45" i="16"/>
  <c r="J45" i="16" s="1"/>
  <c r="K45" i="16" s="1"/>
  <c r="D45" i="16"/>
  <c r="E45" i="16"/>
  <c r="F45" i="16" s="1"/>
  <c r="L11" i="10"/>
  <c r="M11" i="10"/>
  <c r="L12" i="10"/>
  <c r="M12" i="10"/>
  <c r="L13" i="10"/>
  <c r="M13" i="10"/>
  <c r="L14" i="10"/>
  <c r="M14" i="10"/>
  <c r="L15" i="10"/>
  <c r="M15" i="10"/>
  <c r="L23" i="10"/>
  <c r="G23" i="10" s="1"/>
  <c r="L24" i="10"/>
  <c r="J24" i="10" s="1"/>
  <c r="H24" i="10" s="1"/>
  <c r="L25" i="10"/>
  <c r="K25" i="10" s="1"/>
  <c r="I25" i="10" s="1"/>
  <c r="L26" i="10"/>
  <c r="L27" i="10"/>
  <c r="G27" i="10" s="1"/>
  <c r="L28" i="10"/>
  <c r="J28" i="10" s="1"/>
  <c r="H28" i="10" s="1"/>
  <c r="L29" i="10"/>
  <c r="G29" i="10" s="1"/>
  <c r="L30" i="10"/>
  <c r="L31" i="10"/>
  <c r="J31" i="10" s="1"/>
  <c r="H31" i="10" s="1"/>
  <c r="L32" i="10"/>
  <c r="G32" i="10" s="1"/>
  <c r="L40" i="10"/>
  <c r="F40" i="10" s="1"/>
  <c r="I40" i="10" s="1"/>
  <c r="E40" i="10"/>
  <c r="G40" i="10" s="1"/>
  <c r="L41" i="10"/>
  <c r="E41" i="10" s="1"/>
  <c r="G41" i="10" s="1"/>
  <c r="L42" i="10"/>
  <c r="E42" i="10" s="1"/>
  <c r="G42" i="10" s="1"/>
  <c r="F42" i="10"/>
  <c r="I42" i="10" s="1"/>
  <c r="L43" i="10"/>
  <c r="F43" i="10"/>
  <c r="I43" i="10" s="1"/>
  <c r="L44" i="10"/>
  <c r="E44" i="10" s="1"/>
  <c r="G44" i="10"/>
  <c r="L45" i="10"/>
  <c r="E45" i="10" s="1"/>
  <c r="G45" i="10" s="1"/>
  <c r="L46" i="10"/>
  <c r="E46" i="10" s="1"/>
  <c r="G46" i="10" s="1"/>
  <c r="F46" i="10"/>
  <c r="I46" i="10" s="1"/>
  <c r="L47" i="10"/>
  <c r="L48" i="10"/>
  <c r="L49" i="10"/>
  <c r="F49" i="10" s="1"/>
  <c r="I49" i="10" s="1"/>
  <c r="J17" i="11"/>
  <c r="L20" i="11"/>
  <c r="D24" i="11"/>
  <c r="D27" i="11" s="1"/>
  <c r="F27" i="11"/>
  <c r="K18" i="11" s="1"/>
  <c r="N27" i="11"/>
  <c r="K31" i="11"/>
  <c r="L31" i="11"/>
  <c r="L37" i="11"/>
  <c r="G43" i="11"/>
  <c r="N11" i="13"/>
  <c r="C15" i="13"/>
  <c r="O10" i="13"/>
  <c r="C31" i="13"/>
  <c r="E31" i="13"/>
  <c r="H31" i="13"/>
  <c r="C32" i="13"/>
  <c r="H32" i="13" s="1"/>
  <c r="C33" i="13"/>
  <c r="H33" i="13"/>
  <c r="C34" i="13"/>
  <c r="H34" i="13" s="1"/>
  <c r="C35" i="13"/>
  <c r="H35" i="13"/>
  <c r="C36" i="13"/>
  <c r="C37" i="13"/>
  <c r="C38" i="13"/>
  <c r="H38" i="13"/>
  <c r="C39" i="13"/>
  <c r="H39" i="13" s="1"/>
  <c r="C40" i="13"/>
  <c r="H40" i="13"/>
  <c r="C41" i="13"/>
  <c r="H41" i="13" s="1"/>
  <c r="C42" i="13"/>
  <c r="H42" i="13"/>
  <c r="C43" i="13"/>
  <c r="H43" i="13" s="1"/>
  <c r="C44" i="13"/>
  <c r="C45" i="13"/>
  <c r="C46" i="13"/>
  <c r="H46" i="13" s="1"/>
  <c r="J15" i="17"/>
  <c r="J19" i="17"/>
  <c r="K20" i="17"/>
  <c r="L19" i="17" s="1"/>
  <c r="F18" i="17" s="1"/>
  <c r="D18" i="17" s="1"/>
  <c r="D22" i="17"/>
  <c r="F22" i="17"/>
  <c r="C25" i="17"/>
  <c r="J25" i="17"/>
  <c r="E25" i="17" s="1"/>
  <c r="L28" i="17"/>
  <c r="K31" i="17"/>
  <c r="L31" i="17"/>
  <c r="F35" i="17"/>
  <c r="J38" i="17"/>
  <c r="J41" i="17"/>
  <c r="J18" i="3"/>
  <c r="K19" i="3"/>
  <c r="L18" i="3"/>
  <c r="F18" i="3" s="1"/>
  <c r="F21" i="3" s="1"/>
  <c r="K25" i="3" s="1"/>
  <c r="L25" i="3"/>
  <c r="K28" i="3"/>
  <c r="L28" i="3"/>
  <c r="F32" i="3"/>
  <c r="J35" i="3"/>
  <c r="J38" i="3"/>
  <c r="P13" i="15"/>
  <c r="Q13" i="15"/>
  <c r="G13" i="15"/>
  <c r="R13" i="15"/>
  <c r="S13" i="15"/>
  <c r="T13" i="15"/>
  <c r="W13" i="15"/>
  <c r="Z13" i="15"/>
  <c r="P14" i="15"/>
  <c r="Q14" i="15"/>
  <c r="G14" i="15"/>
  <c r="R14" i="15"/>
  <c r="S14" i="15"/>
  <c r="T14" i="15"/>
  <c r="W14" i="15"/>
  <c r="Z14" i="15"/>
  <c r="P15" i="15"/>
  <c r="Q15" i="15"/>
  <c r="G15" i="15" s="1"/>
  <c r="R15" i="15"/>
  <c r="W15" i="15"/>
  <c r="Z15" i="15"/>
  <c r="P16" i="15"/>
  <c r="R16" i="15"/>
  <c r="W16" i="15"/>
  <c r="Z16" i="15"/>
  <c r="P17" i="15"/>
  <c r="R17" i="15"/>
  <c r="W17" i="15"/>
  <c r="Z17" i="15"/>
  <c r="P18" i="15"/>
  <c r="Q18" i="15" s="1"/>
  <c r="G18" i="15" s="1"/>
  <c r="R18" i="15"/>
  <c r="W18" i="15"/>
  <c r="Z18" i="15"/>
  <c r="P19" i="15"/>
  <c r="Q19" i="15"/>
  <c r="G19" i="15" s="1"/>
  <c r="R19" i="15"/>
  <c r="S19" i="15"/>
  <c r="T19" i="15"/>
  <c r="H19" i="15" s="1"/>
  <c r="V19" i="15" s="1"/>
  <c r="I19" i="15" s="1"/>
  <c r="W19" i="15"/>
  <c r="Z19" i="15"/>
  <c r="P20" i="15"/>
  <c r="Q20" i="15"/>
  <c r="G20" i="15" s="1"/>
  <c r="R20" i="15"/>
  <c r="S20" i="15"/>
  <c r="T20" i="15"/>
  <c r="W20" i="15"/>
  <c r="Z20" i="15"/>
  <c r="P21" i="15"/>
  <c r="Q21" i="15"/>
  <c r="G21" i="15"/>
  <c r="R21" i="15"/>
  <c r="S21" i="15"/>
  <c r="T21" i="15"/>
  <c r="H21" i="15" s="1"/>
  <c r="V21" i="15" s="1"/>
  <c r="I21" i="15" s="1"/>
  <c r="W21" i="15"/>
  <c r="Z21" i="15"/>
  <c r="P22" i="15"/>
  <c r="R22" i="15"/>
  <c r="S22" i="15" s="1"/>
  <c r="T22" i="15" s="1"/>
  <c r="H22" i="15" s="1"/>
  <c r="W22" i="15"/>
  <c r="Z22" i="15"/>
  <c r="P23" i="15"/>
  <c r="R23" i="15"/>
  <c r="W23" i="15"/>
  <c r="Z23" i="15"/>
  <c r="P24" i="15"/>
  <c r="Q24" i="15" s="1"/>
  <c r="G24" i="15" s="1"/>
  <c r="R24" i="15"/>
  <c r="W24" i="15"/>
  <c r="Z24" i="15"/>
  <c r="P25" i="15"/>
  <c r="Q25" i="15"/>
  <c r="G25" i="15" s="1"/>
  <c r="R25" i="15"/>
  <c r="S25" i="15"/>
  <c r="T25" i="15" s="1"/>
  <c r="H25" i="15" s="1"/>
  <c r="V25" i="15" s="1"/>
  <c r="I25" i="15" s="1"/>
  <c r="J25" i="15" s="1"/>
  <c r="W25" i="15"/>
  <c r="Z25" i="15"/>
  <c r="P26" i="15"/>
  <c r="Q26" i="15" s="1"/>
  <c r="G26" i="15" s="1"/>
  <c r="R26" i="15"/>
  <c r="S26" i="15" s="1"/>
  <c r="T26" i="15" s="1"/>
  <c r="W26" i="15"/>
  <c r="Z26" i="15"/>
  <c r="P27" i="15"/>
  <c r="Q27" i="15"/>
  <c r="G27" i="15" s="1"/>
  <c r="R27" i="15"/>
  <c r="W27" i="15"/>
  <c r="Z27" i="15"/>
  <c r="P28" i="15"/>
  <c r="Q28" i="15" s="1"/>
  <c r="G28" i="15" s="1"/>
  <c r="R28" i="15"/>
  <c r="W28" i="15"/>
  <c r="Z28" i="15"/>
  <c r="P29" i="15"/>
  <c r="Q29" i="15"/>
  <c r="G29" i="15" s="1"/>
  <c r="R29" i="15"/>
  <c r="S29" i="15"/>
  <c r="T29" i="15" s="1"/>
  <c r="H29" i="15" s="1"/>
  <c r="V29" i="15" s="1"/>
  <c r="I29" i="15" s="1"/>
  <c r="W29" i="15"/>
  <c r="Z29" i="15"/>
  <c r="P30" i="15"/>
  <c r="R30" i="15"/>
  <c r="W30" i="15"/>
  <c r="Z30" i="15"/>
  <c r="P31" i="15"/>
  <c r="Q31" i="15"/>
  <c r="G31" i="15"/>
  <c r="R31" i="15"/>
  <c r="S31" i="15" s="1"/>
  <c r="T31" i="15" s="1"/>
  <c r="W31" i="15"/>
  <c r="Z31" i="15"/>
  <c r="P32" i="15"/>
  <c r="Q32" i="15"/>
  <c r="G32" i="15"/>
  <c r="R32" i="15"/>
  <c r="S32" i="15" s="1"/>
  <c r="T32" i="15" s="1"/>
  <c r="W32" i="15"/>
  <c r="Z32" i="15"/>
  <c r="P33" i="15"/>
  <c r="Q33" i="15"/>
  <c r="G33" i="15" s="1"/>
  <c r="R33" i="15"/>
  <c r="W33" i="15"/>
  <c r="Z33" i="15"/>
  <c r="P34" i="15"/>
  <c r="R34" i="15"/>
  <c r="W34" i="15"/>
  <c r="Z34" i="15"/>
  <c r="P35" i="15"/>
  <c r="Q35" i="15" s="1"/>
  <c r="G35" i="15" s="1"/>
  <c r="R35" i="15"/>
  <c r="W35" i="15"/>
  <c r="Z35" i="15"/>
  <c r="P36" i="15"/>
  <c r="Q36" i="15"/>
  <c r="G36" i="15" s="1"/>
  <c r="R36" i="15"/>
  <c r="S36" i="15" s="1"/>
  <c r="T36" i="15" s="1"/>
  <c r="H36" i="15" s="1"/>
  <c r="V36" i="15" s="1"/>
  <c r="I36" i="15" s="1"/>
  <c r="W36" i="15"/>
  <c r="Z36" i="15"/>
  <c r="P37" i="15"/>
  <c r="R37" i="15"/>
  <c r="W37" i="15"/>
  <c r="Z37" i="15"/>
  <c r="P38" i="15"/>
  <c r="R38" i="15"/>
  <c r="W38" i="15"/>
  <c r="Z38" i="15"/>
  <c r="P39" i="15"/>
  <c r="Q39" i="15"/>
  <c r="G39" i="15" s="1"/>
  <c r="R39" i="15"/>
  <c r="S39" i="15" s="1"/>
  <c r="T39" i="15"/>
  <c r="W39" i="15"/>
  <c r="Z39" i="15"/>
  <c r="P40" i="15"/>
  <c r="Q40" i="15"/>
  <c r="G40" i="15" s="1"/>
  <c r="R40" i="15"/>
  <c r="S40" i="15" s="1"/>
  <c r="T40" i="15"/>
  <c r="H40" i="15" s="1"/>
  <c r="W40" i="15"/>
  <c r="Z40" i="15"/>
  <c r="P41" i="15"/>
  <c r="R41" i="15"/>
  <c r="W41" i="15"/>
  <c r="Z41" i="15"/>
  <c r="P42" i="15"/>
  <c r="Q42" i="15"/>
  <c r="G42" i="15" s="1"/>
  <c r="R42" i="15"/>
  <c r="W42" i="15"/>
  <c r="Z42" i="15"/>
  <c r="P43" i="15"/>
  <c r="Q43" i="15" s="1"/>
  <c r="G43" i="15" s="1"/>
  <c r="R43" i="15"/>
  <c r="W43" i="15"/>
  <c r="Z43" i="15"/>
  <c r="P44" i="15"/>
  <c r="Q44" i="15"/>
  <c r="G44" i="15" s="1"/>
  <c r="R44" i="15"/>
  <c r="S44" i="15" s="1"/>
  <c r="T44" i="15" s="1"/>
  <c r="W44" i="15"/>
  <c r="Z44" i="15"/>
  <c r="P45" i="15"/>
  <c r="Q45" i="15" s="1"/>
  <c r="G45" i="15"/>
  <c r="R45" i="15"/>
  <c r="S45" i="15"/>
  <c r="T45" i="15" s="1"/>
  <c r="H45" i="15" s="1"/>
  <c r="V45" i="15" s="1"/>
  <c r="I45" i="15" s="1"/>
  <c r="J45" i="15" s="1"/>
  <c r="W45" i="15"/>
  <c r="Z45" i="15"/>
  <c r="P46" i="15"/>
  <c r="R46" i="15"/>
  <c r="W46" i="15"/>
  <c r="Z46" i="15"/>
  <c r="J13" i="9"/>
  <c r="K13" i="9"/>
  <c r="L13" i="9" s="1"/>
  <c r="E13" i="9"/>
  <c r="F13" i="9" s="1"/>
  <c r="G13" i="9" s="1"/>
  <c r="J14" i="9"/>
  <c r="K14" i="9" s="1"/>
  <c r="L14" i="9" s="1"/>
  <c r="E14" i="9" s="1"/>
  <c r="F14" i="9" s="1"/>
  <c r="G14" i="9" s="1"/>
  <c r="J15" i="9"/>
  <c r="K15" i="9" s="1"/>
  <c r="L15" i="9" s="1"/>
  <c r="E15" i="9" s="1"/>
  <c r="F15" i="9" s="1"/>
  <c r="G15" i="9" s="1"/>
  <c r="J16" i="9"/>
  <c r="K16" i="9" s="1"/>
  <c r="L16" i="9" s="1"/>
  <c r="E16" i="9" s="1"/>
  <c r="F16" i="9" s="1"/>
  <c r="G16" i="9" s="1"/>
  <c r="J17" i="9"/>
  <c r="K17" i="9" s="1"/>
  <c r="L17" i="9" s="1"/>
  <c r="E17" i="9" s="1"/>
  <c r="F17" i="9" s="1"/>
  <c r="G17" i="9" s="1"/>
  <c r="J18" i="9"/>
  <c r="K18" i="9" s="1"/>
  <c r="L18" i="9" s="1"/>
  <c r="E18" i="9" s="1"/>
  <c r="F18" i="9" s="1"/>
  <c r="G18" i="9" s="1"/>
  <c r="J19" i="9"/>
  <c r="K19" i="9"/>
  <c r="L19" i="9" s="1"/>
  <c r="E19" i="9" s="1"/>
  <c r="F19" i="9" s="1"/>
  <c r="G19" i="9" s="1"/>
  <c r="J20" i="9"/>
  <c r="K20" i="9" s="1"/>
  <c r="L20" i="9" s="1"/>
  <c r="E20" i="9" s="1"/>
  <c r="F20" i="9" s="1"/>
  <c r="G20" i="9" s="1"/>
  <c r="J21" i="9"/>
  <c r="K21" i="9"/>
  <c r="L21" i="9" s="1"/>
  <c r="E21" i="9" s="1"/>
  <c r="F21" i="9" s="1"/>
  <c r="G21" i="9" s="1"/>
  <c r="J22" i="9"/>
  <c r="K22" i="9" s="1"/>
  <c r="L22" i="9" s="1"/>
  <c r="E22" i="9" s="1"/>
  <c r="F22" i="9" s="1"/>
  <c r="G22" i="9" s="1"/>
  <c r="J23" i="9"/>
  <c r="K23" i="9" s="1"/>
  <c r="L23" i="9" s="1"/>
  <c r="E23" i="9" s="1"/>
  <c r="F23" i="9" s="1"/>
  <c r="G23" i="9" s="1"/>
  <c r="J24" i="9"/>
  <c r="K24" i="9" s="1"/>
  <c r="L24" i="9" s="1"/>
  <c r="E24" i="9" s="1"/>
  <c r="F24" i="9" s="1"/>
  <c r="G24" i="9" s="1"/>
  <c r="J25" i="9"/>
  <c r="K25" i="9" s="1"/>
  <c r="L25" i="9" s="1"/>
  <c r="E25" i="9" s="1"/>
  <c r="F25" i="9" s="1"/>
  <c r="G25" i="9" s="1"/>
  <c r="J26" i="9"/>
  <c r="K26" i="9" s="1"/>
  <c r="L26" i="9" s="1"/>
  <c r="E26" i="9" s="1"/>
  <c r="F26" i="9" s="1"/>
  <c r="G26" i="9" s="1"/>
  <c r="J27" i="9"/>
  <c r="K27" i="9"/>
  <c r="L27" i="9" s="1"/>
  <c r="E27" i="9" s="1"/>
  <c r="F27" i="9" s="1"/>
  <c r="G27" i="9" s="1"/>
  <c r="J28" i="9"/>
  <c r="K28" i="9" s="1"/>
  <c r="L28" i="9" s="1"/>
  <c r="E28" i="9" s="1"/>
  <c r="F28" i="9" s="1"/>
  <c r="G28" i="9" s="1"/>
  <c r="J29" i="9"/>
  <c r="K29" i="9"/>
  <c r="L29" i="9" s="1"/>
  <c r="E29" i="9" s="1"/>
  <c r="F29" i="9" s="1"/>
  <c r="G29" i="9" s="1"/>
  <c r="J30" i="9"/>
  <c r="K30" i="9" s="1"/>
  <c r="L30" i="9" s="1"/>
  <c r="E30" i="9" s="1"/>
  <c r="F30" i="9" s="1"/>
  <c r="G30" i="9" s="1"/>
  <c r="J31" i="9"/>
  <c r="K31" i="9" s="1"/>
  <c r="L31" i="9" s="1"/>
  <c r="E31" i="9" s="1"/>
  <c r="F31" i="9" s="1"/>
  <c r="G31" i="9" s="1"/>
  <c r="J32" i="9"/>
  <c r="K32" i="9" s="1"/>
  <c r="L32" i="9" s="1"/>
  <c r="E32" i="9" s="1"/>
  <c r="F32" i="9" s="1"/>
  <c r="G32" i="9" s="1"/>
  <c r="J33" i="9"/>
  <c r="K33" i="9" s="1"/>
  <c r="L33" i="9" s="1"/>
  <c r="E33" i="9" s="1"/>
  <c r="F33" i="9" s="1"/>
  <c r="G33" i="9" s="1"/>
  <c r="J34" i="9"/>
  <c r="K34" i="9" s="1"/>
  <c r="L34" i="9" s="1"/>
  <c r="E34" i="9" s="1"/>
  <c r="F34" i="9" s="1"/>
  <c r="G34" i="9" s="1"/>
  <c r="J35" i="9"/>
  <c r="K35" i="9"/>
  <c r="L35" i="9" s="1"/>
  <c r="E35" i="9" s="1"/>
  <c r="F35" i="9" s="1"/>
  <c r="G35" i="9" s="1"/>
  <c r="J36" i="9"/>
  <c r="K36" i="9" s="1"/>
  <c r="L36" i="9" s="1"/>
  <c r="E36" i="9" s="1"/>
  <c r="F36" i="9" s="1"/>
  <c r="G36" i="9" s="1"/>
  <c r="J37" i="9"/>
  <c r="K37" i="9"/>
  <c r="L37" i="9" s="1"/>
  <c r="E37" i="9" s="1"/>
  <c r="F37" i="9" s="1"/>
  <c r="G37" i="9" s="1"/>
  <c r="J38" i="9"/>
  <c r="K38" i="9" s="1"/>
  <c r="L38" i="9" s="1"/>
  <c r="E38" i="9" s="1"/>
  <c r="F38" i="9" s="1"/>
  <c r="G38" i="9" s="1"/>
  <c r="J39" i="9"/>
  <c r="K39" i="9" s="1"/>
  <c r="L39" i="9" s="1"/>
  <c r="E39" i="9" s="1"/>
  <c r="F39" i="9" s="1"/>
  <c r="G39" i="9" s="1"/>
  <c r="J40" i="9"/>
  <c r="K40" i="9" s="1"/>
  <c r="L40" i="9" s="1"/>
  <c r="E40" i="9" s="1"/>
  <c r="F40" i="9" s="1"/>
  <c r="G40" i="9" s="1"/>
  <c r="J41" i="9"/>
  <c r="K41" i="9" s="1"/>
  <c r="L41" i="9" s="1"/>
  <c r="E41" i="9" s="1"/>
  <c r="F41" i="9" s="1"/>
  <c r="G41" i="9" s="1"/>
  <c r="J42" i="9"/>
  <c r="K42" i="9" s="1"/>
  <c r="L42" i="9" s="1"/>
  <c r="E42" i="9" s="1"/>
  <c r="F42" i="9" s="1"/>
  <c r="G42" i="9" s="1"/>
  <c r="J43" i="9"/>
  <c r="K43" i="9"/>
  <c r="L43" i="9" s="1"/>
  <c r="E43" i="9" s="1"/>
  <c r="F43" i="9" s="1"/>
  <c r="G43" i="9" s="1"/>
  <c r="J44" i="9"/>
  <c r="K44" i="9" s="1"/>
  <c r="L44" i="9" s="1"/>
  <c r="E44" i="9" s="1"/>
  <c r="F44" i="9" s="1"/>
  <c r="G44" i="9" s="1"/>
  <c r="J45" i="9"/>
  <c r="K45" i="9"/>
  <c r="L45" i="9" s="1"/>
  <c r="E45" i="9" s="1"/>
  <c r="F45" i="9" s="1"/>
  <c r="G45" i="9" s="1"/>
  <c r="C8" i="2"/>
  <c r="E14" i="2"/>
  <c r="F14" i="2"/>
  <c r="M14" i="2"/>
  <c r="E15" i="2"/>
  <c r="F15" i="2"/>
  <c r="M15" i="2"/>
  <c r="E16" i="2"/>
  <c r="F16" i="2"/>
  <c r="M16" i="2"/>
  <c r="E17" i="2"/>
  <c r="F17" i="2"/>
  <c r="M17" i="2"/>
  <c r="E18" i="2"/>
  <c r="F18" i="2"/>
  <c r="M18" i="2"/>
  <c r="E19" i="2"/>
  <c r="F19" i="2"/>
  <c r="M19" i="2"/>
  <c r="E20" i="2"/>
  <c r="L20" i="2"/>
  <c r="K20" i="2" s="1"/>
  <c r="M20" i="2"/>
  <c r="E21" i="2"/>
  <c r="F21" i="2"/>
  <c r="M21" i="2"/>
  <c r="H21" i="2"/>
  <c r="E22" i="2"/>
  <c r="F22" i="2"/>
  <c r="M22" i="2"/>
  <c r="E23" i="2"/>
  <c r="F23" i="2"/>
  <c r="M23" i="2"/>
  <c r="E24" i="2"/>
  <c r="L24" i="2"/>
  <c r="K24" i="2" s="1"/>
  <c r="M24" i="2"/>
  <c r="E25" i="2"/>
  <c r="F25" i="2"/>
  <c r="M25" i="2"/>
  <c r="E26" i="2"/>
  <c r="F26" i="2"/>
  <c r="M26" i="2"/>
  <c r="E27" i="2"/>
  <c r="F27" i="2"/>
  <c r="M27" i="2"/>
  <c r="E28" i="2"/>
  <c r="L28" i="2"/>
  <c r="K28" i="2" s="1"/>
  <c r="M28" i="2"/>
  <c r="E29" i="2"/>
  <c r="F29" i="2"/>
  <c r="M29" i="2"/>
  <c r="H29" i="2"/>
  <c r="E30" i="2"/>
  <c r="F30" i="2"/>
  <c r="M30" i="2"/>
  <c r="E31" i="2"/>
  <c r="F31" i="2"/>
  <c r="M31" i="2"/>
  <c r="E32" i="2"/>
  <c r="L32" i="2"/>
  <c r="K32" i="2" s="1"/>
  <c r="M32" i="2"/>
  <c r="E33" i="2"/>
  <c r="F33" i="2"/>
  <c r="M33" i="2"/>
  <c r="E34" i="2"/>
  <c r="F34" i="2"/>
  <c r="M34" i="2"/>
  <c r="E35" i="2"/>
  <c r="F35" i="2"/>
  <c r="M35" i="2"/>
  <c r="E36" i="2"/>
  <c r="L36" i="2"/>
  <c r="K36" i="2" s="1"/>
  <c r="M36" i="2"/>
  <c r="E37" i="2"/>
  <c r="F37" i="2"/>
  <c r="M37" i="2"/>
  <c r="H37" i="2"/>
  <c r="E38" i="2"/>
  <c r="F38" i="2"/>
  <c r="M38" i="2"/>
  <c r="E39" i="2"/>
  <c r="F39" i="2"/>
  <c r="M39" i="2"/>
  <c r="E40" i="2"/>
  <c r="L40" i="2"/>
  <c r="K40" i="2" s="1"/>
  <c r="M40" i="2"/>
  <c r="E41" i="2"/>
  <c r="F41" i="2"/>
  <c r="M41" i="2"/>
  <c r="E42" i="2"/>
  <c r="F42" i="2"/>
  <c r="L42" i="2"/>
  <c r="K42" i="2" s="1"/>
  <c r="M42" i="2"/>
  <c r="E43" i="2"/>
  <c r="F43" i="2"/>
  <c r="M43" i="2"/>
  <c r="E44" i="2"/>
  <c r="F44" i="2"/>
  <c r="L44" i="2"/>
  <c r="K44" i="2" s="1"/>
  <c r="M44" i="2"/>
  <c r="E45" i="2"/>
  <c r="F45" i="2"/>
  <c r="M45" i="2"/>
  <c r="E46" i="2"/>
  <c r="F46" i="2"/>
  <c r="L46" i="2"/>
  <c r="K46" i="2" s="1"/>
  <c r="M46" i="2"/>
  <c r="K14" i="8"/>
  <c r="L14" i="8"/>
  <c r="K16" i="8"/>
  <c r="K18" i="8"/>
  <c r="K19" i="8"/>
  <c r="G21" i="8"/>
  <c r="G24" i="8"/>
  <c r="K27" i="8"/>
  <c r="L27" i="8"/>
  <c r="D35" i="8"/>
  <c r="E13" i="4"/>
  <c r="H13" i="4"/>
  <c r="E14" i="4"/>
  <c r="O14" i="4"/>
  <c r="H14" i="4"/>
  <c r="P14" i="4"/>
  <c r="M14" i="4" s="1"/>
  <c r="E15" i="4"/>
  <c r="O15" i="4" s="1"/>
  <c r="G15" i="4" s="1"/>
  <c r="H15" i="4"/>
  <c r="E16" i="4"/>
  <c r="P16" i="4"/>
  <c r="M16" i="4" s="1"/>
  <c r="H16" i="4"/>
  <c r="O16" i="4"/>
  <c r="G16" i="4"/>
  <c r="I16" i="4" s="1"/>
  <c r="J16" i="4"/>
  <c r="E17" i="4"/>
  <c r="O17" i="4" s="1"/>
  <c r="G17" i="4" s="1"/>
  <c r="H17" i="4"/>
  <c r="F17" i="4"/>
  <c r="P17" i="4"/>
  <c r="M17" i="4" s="1"/>
  <c r="E18" i="4"/>
  <c r="O18" i="4" s="1"/>
  <c r="G18" i="4" s="1"/>
  <c r="H18" i="4"/>
  <c r="I18" i="4" s="1"/>
  <c r="J18" i="4" s="1"/>
  <c r="P18" i="4"/>
  <c r="M18" i="4" s="1"/>
  <c r="E19" i="4"/>
  <c r="O19" i="4"/>
  <c r="F19" i="4" s="1"/>
  <c r="H19" i="4"/>
  <c r="E20" i="4"/>
  <c r="P20" i="4" s="1"/>
  <c r="M20" i="4"/>
  <c r="H20" i="4"/>
  <c r="O20" i="4"/>
  <c r="G20" i="4" s="1"/>
  <c r="I20" i="4" s="1"/>
  <c r="J20" i="4" s="1"/>
  <c r="E21" i="4"/>
  <c r="H21" i="4"/>
  <c r="O21" i="4"/>
  <c r="P21" i="4"/>
  <c r="M21" i="4" s="1"/>
  <c r="E22" i="4"/>
  <c r="O22" i="4"/>
  <c r="H22" i="4"/>
  <c r="P22" i="4"/>
  <c r="M22" i="4" s="1"/>
  <c r="E23" i="4"/>
  <c r="O23" i="4" s="1"/>
  <c r="H23" i="4"/>
  <c r="E24" i="4"/>
  <c r="P24" i="4"/>
  <c r="M24" i="4" s="1"/>
  <c r="H24" i="4"/>
  <c r="O24" i="4"/>
  <c r="G24" i="4"/>
  <c r="I24" i="4" s="1"/>
  <c r="J24" i="4" s="1"/>
  <c r="E25" i="4"/>
  <c r="O25" i="4" s="1"/>
  <c r="F25" i="4" s="1"/>
  <c r="G25" i="4"/>
  <c r="H25" i="4"/>
  <c r="P25" i="4"/>
  <c r="M25" i="4" s="1"/>
  <c r="E26" i="4"/>
  <c r="H26" i="4"/>
  <c r="E27" i="4"/>
  <c r="O27" i="4"/>
  <c r="H27" i="4"/>
  <c r="E28" i="4"/>
  <c r="P28" i="4" s="1"/>
  <c r="M28" i="4" s="1"/>
  <c r="H28" i="4"/>
  <c r="O28" i="4"/>
  <c r="E29" i="4"/>
  <c r="O29" i="4" s="1"/>
  <c r="H29" i="4"/>
  <c r="P29" i="4"/>
  <c r="M29" i="4" s="1"/>
  <c r="E30" i="4"/>
  <c r="O30" i="4"/>
  <c r="H30" i="4"/>
  <c r="P30" i="4"/>
  <c r="M30" i="4" s="1"/>
  <c r="E31" i="4"/>
  <c r="O31" i="4" s="1"/>
  <c r="G31" i="4" s="1"/>
  <c r="H31" i="4"/>
  <c r="E32" i="4"/>
  <c r="O32" i="4" s="1"/>
  <c r="G32" i="4" s="1"/>
  <c r="H32" i="4"/>
  <c r="E33" i="4"/>
  <c r="O33" i="4" s="1"/>
  <c r="G33" i="4" s="1"/>
  <c r="H33" i="4"/>
  <c r="F33" i="4"/>
  <c r="P33" i="4"/>
  <c r="M33" i="4" s="1"/>
  <c r="E34" i="4"/>
  <c r="O34" i="4" s="1"/>
  <c r="F34" i="4" s="1"/>
  <c r="H34" i="4"/>
  <c r="P34" i="4"/>
  <c r="M34" i="4" s="1"/>
  <c r="E35" i="4"/>
  <c r="O35" i="4"/>
  <c r="F35" i="4" s="1"/>
  <c r="H35" i="4"/>
  <c r="E36" i="4"/>
  <c r="P36" i="4" s="1"/>
  <c r="M36" i="4"/>
  <c r="H36" i="4"/>
  <c r="O36" i="4"/>
  <c r="G36" i="4" s="1"/>
  <c r="I36" i="4" s="1"/>
  <c r="J36" i="4" s="1"/>
  <c r="E37" i="4"/>
  <c r="H37" i="4"/>
  <c r="O37" i="4"/>
  <c r="P37" i="4"/>
  <c r="M37" i="4" s="1"/>
  <c r="E38" i="4"/>
  <c r="O38" i="4"/>
  <c r="G38" i="4" s="1"/>
  <c r="H38" i="4"/>
  <c r="P38" i="4"/>
  <c r="M38" i="4" s="1"/>
  <c r="E39" i="4"/>
  <c r="O39" i="4" s="1"/>
  <c r="G39" i="4" s="1"/>
  <c r="H39" i="4"/>
  <c r="E40" i="4"/>
  <c r="O40" i="4" s="1"/>
  <c r="H40" i="4"/>
  <c r="E41" i="4"/>
  <c r="O41" i="4" s="1"/>
  <c r="F41" i="4" s="1"/>
  <c r="G41" i="4"/>
  <c r="H41" i="4"/>
  <c r="P41" i="4"/>
  <c r="M41" i="4" s="1"/>
  <c r="E42" i="4"/>
  <c r="H42" i="4"/>
  <c r="E43" i="4"/>
  <c r="O43" i="4"/>
  <c r="G43" i="4" s="1"/>
  <c r="H43" i="4"/>
  <c r="E44" i="4"/>
  <c r="H44" i="4"/>
  <c r="E45" i="4"/>
  <c r="O45" i="4" s="1"/>
  <c r="H45" i="4"/>
  <c r="P45" i="4"/>
  <c r="M45" i="4" s="1"/>
  <c r="E46" i="4"/>
  <c r="O46" i="4"/>
  <c r="F46" i="4" s="1"/>
  <c r="H46" i="4"/>
  <c r="P46" i="4"/>
  <c r="M46" i="4" s="1"/>
  <c r="J18" i="12"/>
  <c r="F24" i="12"/>
  <c r="F28" i="12"/>
  <c r="M26" i="12"/>
  <c r="K36" i="12"/>
  <c r="K39" i="12"/>
  <c r="O43" i="12"/>
  <c r="J45" i="12"/>
  <c r="L45" i="12"/>
  <c r="M49" i="12" s="1"/>
  <c r="C8" i="6"/>
  <c r="D19" i="6"/>
  <c r="D22" i="6"/>
  <c r="L28" i="6"/>
  <c r="K30" i="6"/>
  <c r="L30" i="6" s="1"/>
  <c r="M30" i="6" s="1"/>
  <c r="L31" i="6"/>
  <c r="K34" i="6"/>
  <c r="M11" i="14"/>
  <c r="N11" i="14"/>
  <c r="K13" i="14"/>
  <c r="L13" i="14"/>
  <c r="K14" i="14"/>
  <c r="L14" i="14"/>
  <c r="N14" i="14"/>
  <c r="L15" i="14"/>
  <c r="N15" i="14"/>
  <c r="K16" i="14"/>
  <c r="L16" i="14"/>
  <c r="E17" i="14"/>
  <c r="L17" i="14"/>
  <c r="P15" i="14" s="1"/>
  <c r="K17" i="14"/>
  <c r="N22" i="14"/>
  <c r="N23" i="14" s="1"/>
  <c r="O22" i="14"/>
  <c r="O23" i="14" s="1"/>
  <c r="N24" i="14" s="1"/>
  <c r="C36" i="14" s="1"/>
  <c r="G36" i="14"/>
  <c r="N36" i="14"/>
  <c r="G37" i="14"/>
  <c r="M41" i="14"/>
  <c r="N41" i="14"/>
  <c r="H13" i="15"/>
  <c r="V13" i="15" s="1"/>
  <c r="I13" i="15"/>
  <c r="J13" i="15" s="1"/>
  <c r="G46" i="4"/>
  <c r="I46" i="4" s="1"/>
  <c r="J46" i="4"/>
  <c r="F43" i="4"/>
  <c r="F38" i="4"/>
  <c r="F18" i="4"/>
  <c r="G35" i="4"/>
  <c r="I35" i="4" s="1"/>
  <c r="J35" i="4"/>
  <c r="G34" i="4"/>
  <c r="F31" i="4"/>
  <c r="I31" i="4"/>
  <c r="J31" i="4" s="1"/>
  <c r="G30" i="4"/>
  <c r="I30" i="4" s="1"/>
  <c r="J30" i="4"/>
  <c r="F30" i="4"/>
  <c r="F15" i="4"/>
  <c r="I15" i="4"/>
  <c r="J15" i="4" s="1"/>
  <c r="G14" i="4"/>
  <c r="I14" i="4" s="1"/>
  <c r="J14" i="4" s="1"/>
  <c r="F14" i="4"/>
  <c r="V40" i="15"/>
  <c r="I40" i="15" s="1"/>
  <c r="J40" i="15" s="1"/>
  <c r="X40" i="15" s="1"/>
  <c r="V22" i="15"/>
  <c r="I22" i="15" s="1"/>
  <c r="J22" i="15" s="1"/>
  <c r="G27" i="4"/>
  <c r="I27" i="4"/>
  <c r="J27" i="4" s="1"/>
  <c r="F27" i="4"/>
  <c r="F39" i="4"/>
  <c r="G19" i="4"/>
  <c r="I19" i="4" s="1"/>
  <c r="J19" i="4"/>
  <c r="H31" i="15"/>
  <c r="V31" i="15" s="1"/>
  <c r="I31" i="15"/>
  <c r="J31" i="15" s="1"/>
  <c r="X31" i="15" s="1"/>
  <c r="S16" i="15"/>
  <c r="T16" i="15"/>
  <c r="Q16" i="15"/>
  <c r="G16" i="15" s="1"/>
  <c r="H45" i="13"/>
  <c r="H37" i="13"/>
  <c r="J23" i="13"/>
  <c r="B42" i="13" s="1"/>
  <c r="J26" i="13"/>
  <c r="B46" i="13"/>
  <c r="D24" i="13"/>
  <c r="B39" i="13"/>
  <c r="H27" i="13"/>
  <c r="B45" i="13"/>
  <c r="K24" i="7"/>
  <c r="M24" i="7"/>
  <c r="M19" i="7"/>
  <c r="L15" i="2"/>
  <c r="K15" i="2" s="1"/>
  <c r="L17" i="2"/>
  <c r="K17" i="2" s="1"/>
  <c r="L19" i="2"/>
  <c r="K19" i="2" s="1"/>
  <c r="L21" i="2"/>
  <c r="K21" i="2" s="1"/>
  <c r="L23" i="2"/>
  <c r="K23" i="2" s="1"/>
  <c r="L25" i="2"/>
  <c r="K25" i="2" s="1"/>
  <c r="L27" i="2"/>
  <c r="K27" i="2" s="1"/>
  <c r="L29" i="2"/>
  <c r="K29" i="2" s="1"/>
  <c r="L31" i="2"/>
  <c r="K31" i="2" s="1"/>
  <c r="L33" i="2"/>
  <c r="K33" i="2" s="1"/>
  <c r="L35" i="2"/>
  <c r="K35" i="2" s="1"/>
  <c r="L37" i="2"/>
  <c r="K37" i="2" s="1"/>
  <c r="L39" i="2"/>
  <c r="K39" i="2" s="1"/>
  <c r="J12" i="10"/>
  <c r="H12" i="10"/>
  <c r="R29" i="1"/>
  <c r="I29" i="1" s="1"/>
  <c r="J29" i="1" s="1"/>
  <c r="W29" i="1"/>
  <c r="P29" i="1"/>
  <c r="P39" i="4"/>
  <c r="M39" i="4"/>
  <c r="P31" i="4"/>
  <c r="M31" i="4"/>
  <c r="P27" i="4"/>
  <c r="M27" i="4"/>
  <c r="P15" i="4"/>
  <c r="M15" i="4"/>
  <c r="L18" i="12"/>
  <c r="L45" i="2"/>
  <c r="K45" i="2" s="1"/>
  <c r="L43" i="2"/>
  <c r="K43" i="2" s="1"/>
  <c r="F40" i="2"/>
  <c r="H40" i="2" s="1"/>
  <c r="F32" i="2"/>
  <c r="H32" i="2" s="1"/>
  <c r="F24" i="2"/>
  <c r="H24" i="2" s="1"/>
  <c r="F20" i="2"/>
  <c r="H20" i="2" s="1"/>
  <c r="Q30" i="15"/>
  <c r="G30" i="15" s="1"/>
  <c r="J21" i="15"/>
  <c r="L20" i="14"/>
  <c r="P12" i="14"/>
  <c r="J18" i="6"/>
  <c r="J19" i="6" s="1"/>
  <c r="K49" i="12"/>
  <c r="J24" i="12"/>
  <c r="F36" i="4"/>
  <c r="F32" i="4"/>
  <c r="F24" i="4"/>
  <c r="F20" i="4"/>
  <c r="F16" i="4"/>
  <c r="J19" i="15"/>
  <c r="J30" i="3"/>
  <c r="D18" i="3"/>
  <c r="D21" i="3" s="1"/>
  <c r="J25" i="3" s="1"/>
  <c r="L19" i="7"/>
  <c r="K20" i="7"/>
  <c r="K22" i="7" s="1"/>
  <c r="G26" i="10"/>
  <c r="K26" i="10"/>
  <c r="I26" i="10" s="1"/>
  <c r="F26" i="10"/>
  <c r="J26" i="10"/>
  <c r="H26" i="10"/>
  <c r="J13" i="10"/>
  <c r="H13" i="10"/>
  <c r="R45" i="1"/>
  <c r="I45" i="1"/>
  <c r="J45" i="1" s="1"/>
  <c r="W45" i="1"/>
  <c r="P45" i="1" s="1"/>
  <c r="H14" i="15"/>
  <c r="V14" i="15" s="1"/>
  <c r="I14" i="15"/>
  <c r="J14" i="15" s="1"/>
  <c r="H44" i="13"/>
  <c r="H36" i="13"/>
  <c r="H20" i="15"/>
  <c r="V20" i="15" s="1"/>
  <c r="I20" i="15" s="1"/>
  <c r="J20" i="15" s="1"/>
  <c r="Q17" i="15"/>
  <c r="G17" i="15"/>
  <c r="S17" i="15"/>
  <c r="T17" i="15"/>
  <c r="M34" i="11"/>
  <c r="K17" i="11"/>
  <c r="F23" i="11" s="1"/>
  <c r="C19" i="11"/>
  <c r="K27" i="11" s="1"/>
  <c r="F25" i="10"/>
  <c r="J25" i="10"/>
  <c r="H25" i="10"/>
  <c r="G25" i="10"/>
  <c r="P43" i="4"/>
  <c r="M43" i="4" s="1"/>
  <c r="P35" i="4"/>
  <c r="M35" i="4" s="1"/>
  <c r="P23" i="4"/>
  <c r="M23" i="4" s="1"/>
  <c r="P19" i="4"/>
  <c r="M19" i="4" s="1"/>
  <c r="M19" i="8"/>
  <c r="D27" i="13"/>
  <c r="B43" i="13" s="1"/>
  <c r="L19" i="14"/>
  <c r="K24" i="8"/>
  <c r="M24" i="8" s="1"/>
  <c r="F36" i="2"/>
  <c r="H36" i="2" s="1"/>
  <c r="F28" i="2"/>
  <c r="H28" i="2" s="1"/>
  <c r="Q46" i="15"/>
  <c r="G46" i="15" s="1"/>
  <c r="Q38" i="15"/>
  <c r="G38" i="15" s="1"/>
  <c r="J29" i="15"/>
  <c r="Q22" i="15"/>
  <c r="G22" i="15"/>
  <c r="L21" i="14"/>
  <c r="P14" i="14"/>
  <c r="N16" i="14"/>
  <c r="O15" i="14"/>
  <c r="S43" i="15"/>
  <c r="T43" i="15" s="1"/>
  <c r="J36" i="15"/>
  <c r="S35" i="15"/>
  <c r="T35" i="15" s="1"/>
  <c r="S27" i="15"/>
  <c r="T27" i="15" s="1"/>
  <c r="H24" i="13"/>
  <c r="B41" i="13" s="1"/>
  <c r="K29" i="17"/>
  <c r="C24" i="17"/>
  <c r="J24" i="17" s="1"/>
  <c r="E24" i="17" s="1"/>
  <c r="J29" i="17"/>
  <c r="L46" i="11"/>
  <c r="G30" i="10"/>
  <c r="K30" i="10"/>
  <c r="I30" i="10" s="1"/>
  <c r="F30" i="10"/>
  <c r="J30" i="10"/>
  <c r="H30" i="10"/>
  <c r="N10" i="13"/>
  <c r="K28" i="17"/>
  <c r="J33" i="17"/>
  <c r="P31" i="13"/>
  <c r="M31" i="13" s="1"/>
  <c r="O31" i="13"/>
  <c r="F31" i="13" s="1"/>
  <c r="G31" i="13" s="1"/>
  <c r="F29" i="10"/>
  <c r="J29" i="10"/>
  <c r="H29" i="10" s="1"/>
  <c r="M28" i="3"/>
  <c r="G18" i="17"/>
  <c r="E39" i="13"/>
  <c r="E43" i="10"/>
  <c r="G43" i="10"/>
  <c r="M38" i="11"/>
  <c r="Y31" i="15"/>
  <c r="K31" i="15" s="1"/>
  <c r="L31" i="15" s="1"/>
  <c r="M31" i="15" s="1"/>
  <c r="Y40" i="15"/>
  <c r="K40" i="15" s="1"/>
  <c r="L40" i="15" s="1"/>
  <c r="M40" i="15"/>
  <c r="X25" i="15"/>
  <c r="Y25" i="15" s="1"/>
  <c r="K25" i="15" s="1"/>
  <c r="H16" i="15"/>
  <c r="V16" i="15"/>
  <c r="I16" i="15" s="1"/>
  <c r="J16" i="15" s="1"/>
  <c r="X13" i="15"/>
  <c r="Y13" i="15"/>
  <c r="K13" i="15"/>
  <c r="L13" i="15" s="1"/>
  <c r="M13" i="15" s="1"/>
  <c r="P13" i="14"/>
  <c r="L18" i="14"/>
  <c r="E41" i="13"/>
  <c r="H27" i="15"/>
  <c r="V27" i="15" s="1"/>
  <c r="I27" i="15" s="1"/>
  <c r="J27" i="15" s="1"/>
  <c r="H35" i="15"/>
  <c r="V35" i="15" s="1"/>
  <c r="I35" i="15" s="1"/>
  <c r="J35" i="15" s="1"/>
  <c r="H43" i="15"/>
  <c r="V43" i="15" s="1"/>
  <c r="I43" i="15" s="1"/>
  <c r="H17" i="15"/>
  <c r="V17" i="15" s="1"/>
  <c r="I17" i="15" s="1"/>
  <c r="J17" i="15" s="1"/>
  <c r="X17" i="15" s="1"/>
  <c r="Y17" i="15" s="1"/>
  <c r="K17" i="15" s="1"/>
  <c r="X21" i="15"/>
  <c r="Y21" i="15" s="1"/>
  <c r="K21" i="15" s="1"/>
  <c r="L21" i="15" s="1"/>
  <c r="M21" i="15" s="1"/>
  <c r="E46" i="13"/>
  <c r="K26" i="11"/>
  <c r="M29" i="11" s="1"/>
  <c r="M37" i="11" s="1"/>
  <c r="E45" i="13"/>
  <c r="P39" i="13"/>
  <c r="M39" i="13"/>
  <c r="O39" i="13"/>
  <c r="F39" i="13" s="1"/>
  <c r="G39" i="13" s="1"/>
  <c r="N29" i="17"/>
  <c r="N30" i="17"/>
  <c r="J34" i="17" s="1"/>
  <c r="K34" i="17" s="1"/>
  <c r="L34" i="17" s="1"/>
  <c r="N34" i="17" s="1"/>
  <c r="L29" i="17"/>
  <c r="M29" i="17" s="1"/>
  <c r="B28" i="17" s="1"/>
  <c r="M28" i="17" s="1"/>
  <c r="D28" i="17" s="1"/>
  <c r="L17" i="11"/>
  <c r="D23" i="11"/>
  <c r="K28" i="11"/>
  <c r="J17" i="13"/>
  <c r="B34" i="13" s="1"/>
  <c r="J20" i="13"/>
  <c r="B38" i="13"/>
  <c r="E38" i="13" s="1"/>
  <c r="O38" i="13" s="1"/>
  <c r="F38" i="13" s="1"/>
  <c r="D18" i="13"/>
  <c r="H21" i="13"/>
  <c r="B37" i="13"/>
  <c r="D21" i="13"/>
  <c r="B35" i="13" s="1"/>
  <c r="H18" i="13"/>
  <c r="B33" i="13"/>
  <c r="X36" i="15"/>
  <c r="Y36" i="15"/>
  <c r="K36" i="15"/>
  <c r="L36" i="15" s="1"/>
  <c r="M36" i="15" s="1"/>
  <c r="X29" i="15"/>
  <c r="Y29" i="15"/>
  <c r="K29" i="15"/>
  <c r="L29" i="15" s="1"/>
  <c r="M29" i="15" s="1"/>
  <c r="X19" i="15"/>
  <c r="Y19" i="15"/>
  <c r="K19" i="15" s="1"/>
  <c r="L19" i="15" s="1"/>
  <c r="M19" i="15" s="1"/>
  <c r="J25" i="12"/>
  <c r="J38" i="12"/>
  <c r="J39" i="12" s="1"/>
  <c r="L39" i="12" s="1"/>
  <c r="E42" i="13"/>
  <c r="E43" i="13"/>
  <c r="J26" i="12"/>
  <c r="X16" i="15"/>
  <c r="Y16" i="15" s="1"/>
  <c r="K16" i="15" s="1"/>
  <c r="P45" i="13"/>
  <c r="M45" i="13"/>
  <c r="O45" i="13"/>
  <c r="F45" i="13" s="1"/>
  <c r="G45" i="13" s="1"/>
  <c r="P43" i="13"/>
  <c r="M43" i="13" s="1"/>
  <c r="O43" i="13"/>
  <c r="F43" i="13"/>
  <c r="G43" i="13" s="1"/>
  <c r="I43" i="13" s="1"/>
  <c r="K41" i="11"/>
  <c r="O42" i="13"/>
  <c r="F42" i="13"/>
  <c r="G42" i="13" s="1"/>
  <c r="P42" i="13"/>
  <c r="M42" i="13"/>
  <c r="J40" i="12"/>
  <c r="K40" i="12" s="1"/>
  <c r="D42" i="12" s="1"/>
  <c r="G32" i="12"/>
  <c r="J28" i="12"/>
  <c r="E33" i="13"/>
  <c r="M13" i="14"/>
  <c r="L17" i="15"/>
  <c r="M17" i="15" s="1"/>
  <c r="O41" i="13"/>
  <c r="F41" i="13"/>
  <c r="G41" i="13"/>
  <c r="J41" i="13" s="1"/>
  <c r="P41" i="13"/>
  <c r="M41" i="13" s="1"/>
  <c r="E37" i="13"/>
  <c r="P37" i="13" s="1"/>
  <c r="M37" i="13" s="1"/>
  <c r="D35" i="17"/>
  <c r="J36" i="17" s="1"/>
  <c r="D38" i="17" s="1"/>
  <c r="G38" i="17" s="1"/>
  <c r="O46" i="13"/>
  <c r="F46" i="13" s="1"/>
  <c r="G46" i="13" s="1"/>
  <c r="J46" i="13" s="1"/>
  <c r="P46" i="13"/>
  <c r="M46" i="13" s="1"/>
  <c r="J29" i="12"/>
  <c r="J30" i="12" s="1"/>
  <c r="J43" i="13"/>
  <c r="I46" i="13"/>
  <c r="J42" i="13"/>
  <c r="I42" i="13"/>
  <c r="P38" i="13"/>
  <c r="M38" i="13" s="1"/>
  <c r="I41" i="13"/>
  <c r="O33" i="13"/>
  <c r="F33" i="13" s="1"/>
  <c r="G33" i="13"/>
  <c r="P33" i="13"/>
  <c r="M33" i="13"/>
  <c r="J45" i="13"/>
  <c r="I45" i="13"/>
  <c r="R39" i="1"/>
  <c r="I39" i="1" s="1"/>
  <c r="J39" i="1" s="1"/>
  <c r="W39" i="1"/>
  <c r="P39" i="1"/>
  <c r="W36" i="1"/>
  <c r="P36" i="1" s="1"/>
  <c r="R36" i="1"/>
  <c r="I36" i="1" s="1"/>
  <c r="J36" i="1" s="1"/>
  <c r="S43" i="1"/>
  <c r="W25" i="1"/>
  <c r="P25" i="1" s="1"/>
  <c r="S20" i="1"/>
  <c r="S19" i="1"/>
  <c r="H44" i="1"/>
  <c r="R44" i="1" s="1"/>
  <c r="I44" i="1" s="1"/>
  <c r="S39" i="1"/>
  <c r="V31" i="1"/>
  <c r="W24" i="1"/>
  <c r="P24" i="1"/>
  <c r="V23" i="1"/>
  <c r="W21" i="1"/>
  <c r="P21" i="1" s="1"/>
  <c r="H20" i="1"/>
  <c r="W20" i="1" s="1"/>
  <c r="P20" i="1" s="1"/>
  <c r="R16" i="1"/>
  <c r="I16" i="1" s="1"/>
  <c r="J16" i="1" s="1"/>
  <c r="V36" i="1"/>
  <c r="V28" i="1"/>
  <c r="H35" i="1"/>
  <c r="H27" i="1"/>
  <c r="R27" i="1" s="1"/>
  <c r="I27" i="1"/>
  <c r="J27" i="1" s="1"/>
  <c r="H23" i="1"/>
  <c r="R23" i="1" s="1"/>
  <c r="I23" i="1" s="1"/>
  <c r="J23" i="1" s="1"/>
  <c r="T23" i="1" s="1"/>
  <c r="U23" i="1" s="1"/>
  <c r="K23" i="1" s="1"/>
  <c r="H19" i="1"/>
  <c r="W19" i="1"/>
  <c r="P19" i="1" s="1"/>
  <c r="H15" i="1"/>
  <c r="H13" i="1"/>
  <c r="W13" i="1" s="1"/>
  <c r="P13" i="1" s="1"/>
  <c r="T45" i="1"/>
  <c r="U45" i="1" s="1"/>
  <c r="K45" i="1" s="1"/>
  <c r="L45" i="1" s="1"/>
  <c r="M45" i="1"/>
  <c r="T43" i="1"/>
  <c r="T24" i="1"/>
  <c r="U24" i="1"/>
  <c r="K24" i="1" s="1"/>
  <c r="L24" i="1" s="1"/>
  <c r="M24" i="1" s="1"/>
  <c r="T21" i="1"/>
  <c r="U21" i="1"/>
  <c r="K21" i="1"/>
  <c r="L21" i="1" s="1"/>
  <c r="M21" i="1" s="1"/>
  <c r="T14" i="1"/>
  <c r="U14" i="1"/>
  <c r="K14" i="1"/>
  <c r="L14" i="1"/>
  <c r="M14" i="1" s="1"/>
  <c r="R46" i="1"/>
  <c r="I46" i="1"/>
  <c r="J46" i="1"/>
  <c r="T46" i="1" s="1"/>
  <c r="U46" i="1" s="1"/>
  <c r="K46" i="1" s="1"/>
  <c r="W46" i="1"/>
  <c r="P46" i="1"/>
  <c r="R34" i="1"/>
  <c r="I34" i="1"/>
  <c r="J34" i="1" s="1"/>
  <c r="W34" i="1"/>
  <c r="P34" i="1"/>
  <c r="R30" i="1"/>
  <c r="I30" i="1" s="1"/>
  <c r="J30" i="1" s="1"/>
  <c r="T30" i="1" s="1"/>
  <c r="U30" i="1" s="1"/>
  <c r="K30" i="1" s="1"/>
  <c r="W30" i="1"/>
  <c r="P30" i="1"/>
  <c r="R22" i="1"/>
  <c r="I22" i="1"/>
  <c r="J22" i="1"/>
  <c r="W22" i="1"/>
  <c r="P22" i="1"/>
  <c r="T42" i="1"/>
  <c r="U42" i="1"/>
  <c r="K42" i="1" s="1"/>
  <c r="L42" i="1" s="1"/>
  <c r="M42" i="1" s="1"/>
  <c r="W35" i="1"/>
  <c r="P35" i="1"/>
  <c r="R35" i="1"/>
  <c r="I35" i="1" s="1"/>
  <c r="J35" i="1" s="1"/>
  <c r="W23" i="1"/>
  <c r="P23" i="1"/>
  <c r="R19" i="1"/>
  <c r="I19" i="1" s="1"/>
  <c r="J19" i="1" s="1"/>
  <c r="R15" i="1"/>
  <c r="I15" i="1"/>
  <c r="J15" i="1" s="1"/>
  <c r="W15" i="1"/>
  <c r="P15" i="1"/>
  <c r="T25" i="1"/>
  <c r="U25" i="1"/>
  <c r="K25" i="1"/>
  <c r="L25" i="1" s="1"/>
  <c r="M25" i="1" s="1"/>
  <c r="W14" i="1"/>
  <c r="P14" i="1"/>
  <c r="W42" i="1"/>
  <c r="P42" i="1"/>
  <c r="R41" i="1"/>
  <c r="I41" i="1"/>
  <c r="J41" i="1" s="1"/>
  <c r="R38" i="1"/>
  <c r="I38" i="1"/>
  <c r="J38" i="1"/>
  <c r="W43" i="1"/>
  <c r="P43" i="1" s="1"/>
  <c r="W44" i="1"/>
  <c r="P44" i="1" s="1"/>
  <c r="J44" i="1"/>
  <c r="T44" i="1" s="1"/>
  <c r="U44" i="1" s="1"/>
  <c r="R20" i="1"/>
  <c r="I20" i="1" s="1"/>
  <c r="J20" i="1" s="1"/>
  <c r="T16" i="1"/>
  <c r="U16" i="1" s="1"/>
  <c r="K16" i="1" s="1"/>
  <c r="W27" i="1"/>
  <c r="P27" i="1"/>
  <c r="U43" i="1"/>
  <c r="K43" i="1"/>
  <c r="L43" i="1" s="1"/>
  <c r="M43" i="1" s="1"/>
  <c r="L46" i="1"/>
  <c r="M46" i="1" s="1"/>
  <c r="T38" i="1"/>
  <c r="U38" i="1" s="1"/>
  <c r="K38" i="1" s="1"/>
  <c r="L38" i="1"/>
  <c r="M38" i="1" s="1"/>
  <c r="N17" i="14" l="1"/>
  <c r="O14" i="14"/>
  <c r="K18" i="6"/>
  <c r="K19" i="6" s="1"/>
  <c r="K20" i="6" s="1"/>
  <c r="K21" i="6" s="1"/>
  <c r="G22" i="6" s="1"/>
  <c r="J20" i="12"/>
  <c r="D24" i="12" s="1"/>
  <c r="I43" i="4"/>
  <c r="J43" i="4" s="1"/>
  <c r="I41" i="4"/>
  <c r="J41" i="4" s="1"/>
  <c r="I39" i="4"/>
  <c r="J39" i="4" s="1"/>
  <c r="I38" i="4"/>
  <c r="J38" i="4" s="1"/>
  <c r="I33" i="4"/>
  <c r="J33" i="4" s="1"/>
  <c r="H26" i="15"/>
  <c r="V26" i="15" s="1"/>
  <c r="I26" i="15" s="1"/>
  <c r="J26" i="15"/>
  <c r="I32" i="4"/>
  <c r="J32" i="4" s="1"/>
  <c r="I25" i="4"/>
  <c r="J25" i="4" s="1"/>
  <c r="I17" i="4"/>
  <c r="J17" i="4" s="1"/>
  <c r="M27" i="8"/>
  <c r="L19" i="8"/>
  <c r="K20" i="8" s="1"/>
  <c r="K22" i="8" s="1"/>
  <c r="K28" i="8" s="1"/>
  <c r="L16" i="8"/>
  <c r="H46" i="2"/>
  <c r="H45" i="2"/>
  <c r="H44" i="2"/>
  <c r="H43" i="2"/>
  <c r="H42" i="2"/>
  <c r="H41" i="2"/>
  <c r="H39" i="2"/>
  <c r="H38" i="2"/>
  <c r="H35" i="2"/>
  <c r="H33" i="2"/>
  <c r="H31" i="2"/>
  <c r="H30" i="2"/>
  <c r="H27" i="2"/>
  <c r="H25" i="2"/>
  <c r="H23" i="2"/>
  <c r="H22" i="2"/>
  <c r="H19" i="2"/>
  <c r="H17" i="2"/>
  <c r="H16" i="2"/>
  <c r="H14" i="2"/>
  <c r="L16" i="2"/>
  <c r="K16" i="2" s="1"/>
  <c r="S46" i="15"/>
  <c r="T46" i="15" s="1"/>
  <c r="S42" i="15"/>
  <c r="T42" i="15" s="1"/>
  <c r="H42" i="15" s="1"/>
  <c r="V42" i="15" s="1"/>
  <c r="I42" i="15" s="1"/>
  <c r="S30" i="15"/>
  <c r="T30" i="15" s="1"/>
  <c r="H30" i="15" s="1"/>
  <c r="V30" i="15" s="1"/>
  <c r="I30" i="15" s="1"/>
  <c r="J30" i="15" s="1"/>
  <c r="S15" i="15"/>
  <c r="T15" i="15" s="1"/>
  <c r="F45" i="10"/>
  <c r="I45" i="10" s="1"/>
  <c r="F41" i="10"/>
  <c r="I41" i="10" s="1"/>
  <c r="J32" i="10"/>
  <c r="H32" i="10" s="1"/>
  <c r="K31" i="10"/>
  <c r="I31" i="10" s="1"/>
  <c r="G31" i="10"/>
  <c r="F31" i="10"/>
  <c r="K29" i="10"/>
  <c r="I29" i="10" s="1"/>
  <c r="K28" i="10"/>
  <c r="I28" i="10" s="1"/>
  <c r="G28" i="10"/>
  <c r="F28" i="10"/>
  <c r="J27" i="10"/>
  <c r="H27" i="10" s="1"/>
  <c r="F27" i="10"/>
  <c r="M27" i="7"/>
  <c r="K28" i="7" s="1"/>
  <c r="H40" i="1"/>
  <c r="M41" i="11"/>
  <c r="N37" i="11"/>
  <c r="L23" i="1"/>
  <c r="M23" i="1" s="1"/>
  <c r="T20" i="1"/>
  <c r="U20" i="1" s="1"/>
  <c r="K20" i="1" s="1"/>
  <c r="L20" i="1" s="1"/>
  <c r="M20" i="1" s="1"/>
  <c r="T41" i="1"/>
  <c r="U41" i="1" s="1"/>
  <c r="K41" i="1" s="1"/>
  <c r="L41" i="1" s="1"/>
  <c r="M41" i="1" s="1"/>
  <c r="T35" i="1"/>
  <c r="U35" i="1" s="1"/>
  <c r="K35" i="1" s="1"/>
  <c r="L35" i="1" s="1"/>
  <c r="M35" i="1" s="1"/>
  <c r="T22" i="1"/>
  <c r="U22" i="1" s="1"/>
  <c r="K22" i="1" s="1"/>
  <c r="L22" i="1" s="1"/>
  <c r="M22" i="1" s="1"/>
  <c r="L16" i="1"/>
  <c r="M16" i="1" s="1"/>
  <c r="E34" i="13"/>
  <c r="X27" i="15"/>
  <c r="Y27" i="15" s="1"/>
  <c r="K27" i="15" s="1"/>
  <c r="L27" i="15" s="1"/>
  <c r="M27" i="15" s="1"/>
  <c r="T15" i="1"/>
  <c r="T19" i="1"/>
  <c r="U19" i="1" s="1"/>
  <c r="K19" i="1" s="1"/>
  <c r="L19" i="1" s="1"/>
  <c r="M19" i="1" s="1"/>
  <c r="T34" i="1"/>
  <c r="U34" i="1" s="1"/>
  <c r="K34" i="1" s="1"/>
  <c r="L34" i="1" s="1"/>
  <c r="M34" i="1" s="1"/>
  <c r="J28" i="3"/>
  <c r="B28" i="3" s="1"/>
  <c r="N28" i="3" s="1"/>
  <c r="D28" i="3" s="1"/>
  <c r="J31" i="3"/>
  <c r="B25" i="3"/>
  <c r="M25" i="3" s="1"/>
  <c r="D25" i="3" s="1"/>
  <c r="T29" i="1"/>
  <c r="U29" i="1" s="1"/>
  <c r="K29" i="1" s="1"/>
  <c r="L29" i="1" s="1"/>
  <c r="M29" i="1" s="1"/>
  <c r="X30" i="15"/>
  <c r="Y30" i="15" s="1"/>
  <c r="K30" i="15" s="1"/>
  <c r="L30" i="15" s="1"/>
  <c r="M30" i="15" s="1"/>
  <c r="X22" i="15"/>
  <c r="Y22" i="15" s="1"/>
  <c r="K22" i="15" s="1"/>
  <c r="L22" i="15" s="1"/>
  <c r="M22" i="15" s="1"/>
  <c r="L30" i="1"/>
  <c r="M30" i="1" s="1"/>
  <c r="T27" i="1"/>
  <c r="U27" i="1" s="1"/>
  <c r="K27" i="1" s="1"/>
  <c r="L27" i="1" s="1"/>
  <c r="M27" i="1" s="1"/>
  <c r="T36" i="1"/>
  <c r="U36" i="1" s="1"/>
  <c r="K36" i="1" s="1"/>
  <c r="L36" i="1" s="1"/>
  <c r="M36" i="1" s="1"/>
  <c r="T39" i="1"/>
  <c r="U39" i="1" s="1"/>
  <c r="K39" i="1" s="1"/>
  <c r="L39" i="1"/>
  <c r="M39" i="1" s="1"/>
  <c r="J33" i="13"/>
  <c r="I33" i="13"/>
  <c r="O37" i="13"/>
  <c r="F37" i="13" s="1"/>
  <c r="G37" i="13" s="1"/>
  <c r="L16" i="15"/>
  <c r="M16" i="15" s="1"/>
  <c r="J31" i="13"/>
  <c r="I31" i="13"/>
  <c r="X14" i="15"/>
  <c r="Y14" i="15" s="1"/>
  <c r="K14" i="15" s="1"/>
  <c r="L14" i="15" s="1"/>
  <c r="M14" i="15" s="1"/>
  <c r="K31" i="7"/>
  <c r="L31" i="7"/>
  <c r="G40" i="4"/>
  <c r="I40" i="4" s="1"/>
  <c r="J40" i="4" s="1"/>
  <c r="F40" i="4"/>
  <c r="G28" i="4"/>
  <c r="I28" i="4" s="1"/>
  <c r="J28" i="4" s="1"/>
  <c r="F28" i="4"/>
  <c r="L25" i="15"/>
  <c r="M25" i="15" s="1"/>
  <c r="F47" i="10"/>
  <c r="I47" i="10" s="1"/>
  <c r="E47" i="10"/>
  <c r="G47" i="10" s="1"/>
  <c r="E35" i="13"/>
  <c r="X20" i="15"/>
  <c r="Y20" i="15" s="1"/>
  <c r="K20" i="15" s="1"/>
  <c r="L20" i="15"/>
  <c r="M20" i="15" s="1"/>
  <c r="J20" i="6"/>
  <c r="J21" i="6" s="1"/>
  <c r="G19" i="6" s="1"/>
  <c r="K28" i="6"/>
  <c r="D28" i="6" s="1"/>
  <c r="J28" i="6"/>
  <c r="G28" i="6" s="1"/>
  <c r="D36" i="14"/>
  <c r="L36" i="14" s="1"/>
  <c r="E36" i="14" s="1"/>
  <c r="F36" i="14" s="1"/>
  <c r="O36" i="14" s="1"/>
  <c r="H36" i="14" s="1"/>
  <c r="X45" i="15"/>
  <c r="Y45" i="15" s="1"/>
  <c r="K45" i="15" s="1"/>
  <c r="L45" i="15" s="1"/>
  <c r="M45" i="15" s="1"/>
  <c r="G38" i="13"/>
  <c r="J39" i="13"/>
  <c r="I39" i="13"/>
  <c r="X35" i="15"/>
  <c r="Y35" i="15" s="1"/>
  <c r="K35" i="15" s="1"/>
  <c r="L35" i="15" s="1"/>
  <c r="M35" i="15" s="1"/>
  <c r="J43" i="15"/>
  <c r="N13" i="14"/>
  <c r="O13" i="14" s="1"/>
  <c r="O16" i="14" s="1"/>
  <c r="O17" i="14" s="1"/>
  <c r="K18" i="14"/>
  <c r="D25" i="14" s="1"/>
  <c r="O26" i="4"/>
  <c r="P26" i="4"/>
  <c r="M26" i="4" s="1"/>
  <c r="G23" i="4"/>
  <c r="I23" i="4" s="1"/>
  <c r="J23" i="4" s="1"/>
  <c r="F23" i="4"/>
  <c r="G22" i="4"/>
  <c r="I22" i="4" s="1"/>
  <c r="J22" i="4" s="1"/>
  <c r="F22" i="4"/>
  <c r="O13" i="4"/>
  <c r="F13" i="4" s="1"/>
  <c r="G13" i="4" s="1"/>
  <c r="I13" i="4" s="1"/>
  <c r="J13" i="4" s="1"/>
  <c r="P13" i="4"/>
  <c r="M13" i="4" s="1"/>
  <c r="H46" i="15"/>
  <c r="V46" i="15" s="1"/>
  <c r="I46" i="15" s="1"/>
  <c r="J46" i="15"/>
  <c r="O42" i="4"/>
  <c r="P42" i="4"/>
  <c r="M42" i="4" s="1"/>
  <c r="H44" i="15"/>
  <c r="V44" i="15" s="1"/>
  <c r="I44" i="15" s="1"/>
  <c r="J44" i="15"/>
  <c r="H39" i="15"/>
  <c r="V39" i="15" s="1"/>
  <c r="I39" i="15" s="1"/>
  <c r="J39" i="15" s="1"/>
  <c r="H32" i="15"/>
  <c r="V32" i="15" s="1"/>
  <c r="I32" i="15" s="1"/>
  <c r="J32" i="15" s="1"/>
  <c r="I34" i="4"/>
  <c r="J34" i="4" s="1"/>
  <c r="G45" i="4"/>
  <c r="I45" i="4" s="1"/>
  <c r="J45" i="4" s="1"/>
  <c r="F45" i="4"/>
  <c r="G29" i="4"/>
  <c r="I29" i="4" s="1"/>
  <c r="J29" i="4" s="1"/>
  <c r="F29" i="4"/>
  <c r="F21" i="4"/>
  <c r="G21" i="4"/>
  <c r="I21" i="4" s="1"/>
  <c r="J21" i="4" s="1"/>
  <c r="H26" i="2"/>
  <c r="H15" i="2"/>
  <c r="Q41" i="15"/>
  <c r="G41" i="15" s="1"/>
  <c r="S41" i="15"/>
  <c r="T41" i="15" s="1"/>
  <c r="Q37" i="15"/>
  <c r="G37" i="15" s="1"/>
  <c r="S37" i="15"/>
  <c r="T37" i="15" s="1"/>
  <c r="Q23" i="15"/>
  <c r="G23" i="15" s="1"/>
  <c r="S23" i="15"/>
  <c r="T23" i="15" s="1"/>
  <c r="H17" i="1"/>
  <c r="S17" i="1"/>
  <c r="N18" i="14"/>
  <c r="E27" i="14" s="1"/>
  <c r="F37" i="4"/>
  <c r="G37" i="4"/>
  <c r="I37" i="4" s="1"/>
  <c r="J37" i="4" s="1"/>
  <c r="H34" i="2"/>
  <c r="H18" i="2"/>
  <c r="J28" i="17"/>
  <c r="K33" i="17"/>
  <c r="O44" i="4"/>
  <c r="P44" i="4"/>
  <c r="M44" i="4" s="1"/>
  <c r="J42" i="15"/>
  <c r="P32" i="4"/>
  <c r="M32" i="4" s="1"/>
  <c r="L41" i="2"/>
  <c r="K41" i="2" s="1"/>
  <c r="L34" i="2"/>
  <c r="K34" i="2" s="1"/>
  <c r="L26" i="2"/>
  <c r="K26" i="2" s="1"/>
  <c r="L18" i="2"/>
  <c r="K18" i="2" s="1"/>
  <c r="L14" i="2"/>
  <c r="K14" i="2" s="1"/>
  <c r="S33" i="15"/>
  <c r="T33" i="15" s="1"/>
  <c r="S28" i="15"/>
  <c r="T28" i="15" s="1"/>
  <c r="S24" i="15"/>
  <c r="T24" i="15" s="1"/>
  <c r="S18" i="15"/>
  <c r="T18" i="15" s="1"/>
  <c r="H33" i="1"/>
  <c r="S33" i="1"/>
  <c r="S38" i="15"/>
  <c r="T38" i="15" s="1"/>
  <c r="S34" i="15"/>
  <c r="T34" i="15" s="1"/>
  <c r="Q34" i="15"/>
  <c r="G34" i="15" s="1"/>
  <c r="N13" i="13"/>
  <c r="O13" i="13"/>
  <c r="M39" i="11"/>
  <c r="J34" i="11"/>
  <c r="K38" i="11"/>
  <c r="K39" i="11"/>
  <c r="R37" i="1"/>
  <c r="I37" i="1" s="1"/>
  <c r="J37" i="1" s="1"/>
  <c r="W37" i="1"/>
  <c r="P37" i="1" s="1"/>
  <c r="P40" i="4"/>
  <c r="M40" i="4" s="1"/>
  <c r="L38" i="2"/>
  <c r="K38" i="2" s="1"/>
  <c r="L30" i="2"/>
  <c r="K30" i="2" s="1"/>
  <c r="L22" i="2"/>
  <c r="K22" i="2" s="1"/>
  <c r="M31" i="17"/>
  <c r="E48" i="10"/>
  <c r="G48" i="10" s="1"/>
  <c r="F48" i="10"/>
  <c r="I48" i="10" s="1"/>
  <c r="H28" i="1"/>
  <c r="E49" i="10"/>
  <c r="G49" i="10" s="1"/>
  <c r="J14" i="10"/>
  <c r="H14" i="10"/>
  <c r="S26" i="1"/>
  <c r="H26" i="1"/>
  <c r="V26" i="1"/>
  <c r="L18" i="11"/>
  <c r="J23" i="10"/>
  <c r="H23" i="10" s="1"/>
  <c r="F23" i="10"/>
  <c r="R32" i="1"/>
  <c r="I32" i="1" s="1"/>
  <c r="J32" i="1" s="1"/>
  <c r="W32" i="1"/>
  <c r="P32" i="1" s="1"/>
  <c r="V44" i="1"/>
  <c r="K44" i="1" s="1"/>
  <c r="L44" i="1" s="1"/>
  <c r="M44" i="1" s="1"/>
  <c r="S15" i="1"/>
  <c r="U15" i="1" s="1"/>
  <c r="V15" i="1"/>
  <c r="K29" i="11"/>
  <c r="F44" i="10"/>
  <c r="I44" i="10" s="1"/>
  <c r="F32" i="10"/>
  <c r="K32" i="10"/>
  <c r="I32" i="10" s="1"/>
  <c r="F24" i="10"/>
  <c r="K24" i="10"/>
  <c r="I24" i="10" s="1"/>
  <c r="G24" i="10"/>
  <c r="K23" i="10"/>
  <c r="I23" i="10" s="1"/>
  <c r="J15" i="10"/>
  <c r="H15" i="10"/>
  <c r="J11" i="10"/>
  <c r="H11" i="10"/>
  <c r="H31" i="1"/>
  <c r="H18" i="1"/>
  <c r="V18" i="1"/>
  <c r="K27" i="10"/>
  <c r="I27" i="10" s="1"/>
  <c r="R13" i="1"/>
  <c r="I13" i="1" s="1"/>
  <c r="J13" i="1" s="1"/>
  <c r="K31" i="8" l="1"/>
  <c r="L31" i="8"/>
  <c r="K15" i="1"/>
  <c r="L15" i="1" s="1"/>
  <c r="M15" i="1" s="1"/>
  <c r="W40" i="1"/>
  <c r="P40" i="1" s="1"/>
  <c r="R40" i="1"/>
  <c r="I40" i="1" s="1"/>
  <c r="J40" i="1" s="1"/>
  <c r="H15" i="15"/>
  <c r="V15" i="15" s="1"/>
  <c r="I15" i="15" s="1"/>
  <c r="J15" i="15"/>
  <c r="X15" i="15" s="1"/>
  <c r="Y15" i="15" s="1"/>
  <c r="K15" i="15" s="1"/>
  <c r="L15" i="15" s="1"/>
  <c r="M15" i="15" s="1"/>
  <c r="X26" i="15"/>
  <c r="Y26" i="15" s="1"/>
  <c r="K26" i="15" s="1"/>
  <c r="L26" i="15"/>
  <c r="M26" i="15" s="1"/>
  <c r="D25" i="12"/>
  <c r="D28" i="12"/>
  <c r="J31" i="6"/>
  <c r="G31" i="6" s="1"/>
  <c r="K31" i="6"/>
  <c r="X39" i="15"/>
  <c r="Y39" i="15" s="1"/>
  <c r="K39" i="15" s="1"/>
  <c r="L39" i="15" s="1"/>
  <c r="M39" i="15" s="1"/>
  <c r="X32" i="15"/>
  <c r="Y32" i="15" s="1"/>
  <c r="K32" i="15" s="1"/>
  <c r="L32" i="15"/>
  <c r="M32" i="15" s="1"/>
  <c r="W26" i="1"/>
  <c r="P26" i="1" s="1"/>
  <c r="R26" i="1"/>
  <c r="I26" i="1" s="1"/>
  <c r="J26" i="1" s="1"/>
  <c r="X46" i="15"/>
  <c r="Y46" i="15" s="1"/>
  <c r="K46" i="15" s="1"/>
  <c r="L46" i="15" s="1"/>
  <c r="M46" i="15" s="1"/>
  <c r="X43" i="15"/>
  <c r="Y43" i="15" s="1"/>
  <c r="K43" i="15" s="1"/>
  <c r="L43" i="15" s="1"/>
  <c r="M43" i="15" s="1"/>
  <c r="I37" i="13"/>
  <c r="J37" i="13"/>
  <c r="W33" i="1"/>
  <c r="P33" i="1" s="1"/>
  <c r="R33" i="1"/>
  <c r="I33" i="1" s="1"/>
  <c r="J33" i="1" s="1"/>
  <c r="H33" i="15"/>
  <c r="V33" i="15" s="1"/>
  <c r="I33" i="15" s="1"/>
  <c r="J33" i="15" s="1"/>
  <c r="J31" i="17"/>
  <c r="B31" i="17" s="1"/>
  <c r="N31" i="17" s="1"/>
  <c r="D31" i="17" s="1"/>
  <c r="J35" i="17"/>
  <c r="D31" i="7"/>
  <c r="D33" i="7" s="1"/>
  <c r="K35" i="7" s="1"/>
  <c r="D37" i="7" s="1"/>
  <c r="P34" i="13"/>
  <c r="M34" i="13" s="1"/>
  <c r="O34" i="13"/>
  <c r="F34" i="13" s="1"/>
  <c r="G34" i="13" s="1"/>
  <c r="W31" i="1"/>
  <c r="P31" i="1" s="1"/>
  <c r="R31" i="1"/>
  <c r="I31" i="1" s="1"/>
  <c r="J31" i="1" s="1"/>
  <c r="K30" i="11"/>
  <c r="L29" i="11" s="1"/>
  <c r="L30" i="11" s="1"/>
  <c r="M30" i="11"/>
  <c r="L26" i="11"/>
  <c r="M26" i="11"/>
  <c r="T37" i="1"/>
  <c r="U37" i="1" s="1"/>
  <c r="K37" i="1" s="1"/>
  <c r="L37" i="1" s="1"/>
  <c r="M37" i="1" s="1"/>
  <c r="M40" i="11"/>
  <c r="M48" i="11"/>
  <c r="M49" i="11" s="1"/>
  <c r="H34" i="15"/>
  <c r="V34" i="15" s="1"/>
  <c r="I34" i="15" s="1"/>
  <c r="J34" i="15" s="1"/>
  <c r="H18" i="15"/>
  <c r="V18" i="15" s="1"/>
  <c r="I18" i="15" s="1"/>
  <c r="J18" i="15" s="1"/>
  <c r="I38" i="13"/>
  <c r="J38" i="13"/>
  <c r="K31" i="3"/>
  <c r="L31" i="3" s="1"/>
  <c r="N31" i="3" s="1"/>
  <c r="D32" i="3" s="1"/>
  <c r="J33" i="3" s="1"/>
  <c r="K40" i="11"/>
  <c r="K48" i="11"/>
  <c r="K49" i="11" s="1"/>
  <c r="L50" i="11" s="1"/>
  <c r="L51" i="11" s="1"/>
  <c r="G40" i="11" s="1"/>
  <c r="F23" i="13"/>
  <c r="B40" i="13" s="1"/>
  <c r="F17" i="13"/>
  <c r="B32" i="13" s="1"/>
  <c r="H28" i="15"/>
  <c r="V28" i="15" s="1"/>
  <c r="I28" i="15" s="1"/>
  <c r="J28" i="15" s="1"/>
  <c r="X42" i="15"/>
  <c r="Y42" i="15" s="1"/>
  <c r="K42" i="15" s="1"/>
  <c r="L42" i="15" s="1"/>
  <c r="M42" i="15" s="1"/>
  <c r="W17" i="1"/>
  <c r="P17" i="1" s="1"/>
  <c r="R17" i="1"/>
  <c r="I17" i="1" s="1"/>
  <c r="J17" i="1" s="1"/>
  <c r="X44" i="15"/>
  <c r="Y44" i="15" s="1"/>
  <c r="K44" i="15" s="1"/>
  <c r="L44" i="15"/>
  <c r="M44" i="15" s="1"/>
  <c r="P35" i="13"/>
  <c r="M35" i="13" s="1"/>
  <c r="O35" i="13"/>
  <c r="F35" i="13" s="1"/>
  <c r="G35" i="13" s="1"/>
  <c r="W18" i="1"/>
  <c r="P18" i="1" s="1"/>
  <c r="R18" i="1"/>
  <c r="I18" i="1" s="1"/>
  <c r="J18" i="1" s="1"/>
  <c r="W28" i="1"/>
  <c r="P28" i="1" s="1"/>
  <c r="R28" i="1"/>
  <c r="I28" i="1" s="1"/>
  <c r="J28" i="1" s="1"/>
  <c r="H23" i="15"/>
  <c r="V23" i="15" s="1"/>
  <c r="I23" i="15" s="1"/>
  <c r="J23" i="15" s="1"/>
  <c r="H41" i="15"/>
  <c r="V41" i="15" s="1"/>
  <c r="I41" i="15" s="1"/>
  <c r="J41" i="15" s="1"/>
  <c r="G26" i="4"/>
  <c r="I26" i="4" s="1"/>
  <c r="J26" i="4" s="1"/>
  <c r="F26" i="4"/>
  <c r="T32" i="1"/>
  <c r="U32" i="1" s="1"/>
  <c r="K32" i="1" s="1"/>
  <c r="L32" i="1" s="1"/>
  <c r="M32" i="1" s="1"/>
  <c r="F26" i="13"/>
  <c r="B44" i="13" s="1"/>
  <c r="F20" i="13"/>
  <c r="B36" i="13" s="1"/>
  <c r="H38" i="15"/>
  <c r="V38" i="15" s="1"/>
  <c r="I38" i="15" s="1"/>
  <c r="J38" i="15" s="1"/>
  <c r="H24" i="15"/>
  <c r="V24" i="15" s="1"/>
  <c r="I24" i="15" s="1"/>
  <c r="J24" i="15" s="1"/>
  <c r="G44" i="4"/>
  <c r="I44" i="4" s="1"/>
  <c r="J44" i="4" s="1"/>
  <c r="F44" i="4"/>
  <c r="H37" i="15"/>
  <c r="V37" i="15" s="1"/>
  <c r="I37" i="15" s="1"/>
  <c r="J37" i="15"/>
  <c r="G42" i="4"/>
  <c r="I42" i="4" s="1"/>
  <c r="J42" i="4" s="1"/>
  <c r="F42" i="4"/>
  <c r="C30" i="14"/>
  <c r="C29" i="14"/>
  <c r="M42" i="11"/>
  <c r="M43" i="11" s="1"/>
  <c r="M44" i="11" s="1"/>
  <c r="T13" i="1"/>
  <c r="U13" i="1" s="1"/>
  <c r="K13" i="1" s="1"/>
  <c r="L13" i="1" s="1"/>
  <c r="M13" i="1" s="1"/>
  <c r="L27" i="11" l="1"/>
  <c r="M27" i="11" s="1"/>
  <c r="M28" i="11" s="1"/>
  <c r="G32" i="11" s="1"/>
  <c r="D31" i="6"/>
  <c r="J34" i="6"/>
  <c r="L34" i="6" s="1"/>
  <c r="D34" i="6" s="1"/>
  <c r="J42" i="12"/>
  <c r="J43" i="12"/>
  <c r="K43" i="12"/>
  <c r="D29" i="12"/>
  <c r="L20" i="12"/>
  <c r="F25" i="12" s="1"/>
  <c r="F29" i="12" s="1"/>
  <c r="T40" i="1"/>
  <c r="U40" i="1" s="1"/>
  <c r="K40" i="1" s="1"/>
  <c r="L40" i="1"/>
  <c r="M40" i="1" s="1"/>
  <c r="D31" i="8"/>
  <c r="D33" i="8" s="1"/>
  <c r="K35" i="8" s="1"/>
  <c r="D37" i="8" s="1"/>
  <c r="X24" i="15"/>
  <c r="Y24" i="15" s="1"/>
  <c r="K24" i="15" s="1"/>
  <c r="L24" i="15"/>
  <c r="M24" i="15" s="1"/>
  <c r="D38" i="3"/>
  <c r="G38" i="3" s="1"/>
  <c r="D35" i="3"/>
  <c r="G35" i="3" s="1"/>
  <c r="X18" i="15"/>
  <c r="Y18" i="15" s="1"/>
  <c r="K18" i="15" s="1"/>
  <c r="L18" i="15" s="1"/>
  <c r="M18" i="15" s="1"/>
  <c r="X28" i="15"/>
  <c r="Y28" i="15" s="1"/>
  <c r="K28" i="15" s="1"/>
  <c r="L28" i="15" s="1"/>
  <c r="M28" i="15" s="1"/>
  <c r="X38" i="15"/>
  <c r="Y38" i="15" s="1"/>
  <c r="K38" i="15" s="1"/>
  <c r="L38" i="15" s="1"/>
  <c r="M38" i="15" s="1"/>
  <c r="X34" i="15"/>
  <c r="Y34" i="15" s="1"/>
  <c r="K34" i="15" s="1"/>
  <c r="L34" i="15" s="1"/>
  <c r="M34" i="15" s="1"/>
  <c r="X33" i="15"/>
  <c r="Y33" i="15" s="1"/>
  <c r="K33" i="15" s="1"/>
  <c r="L33" i="15"/>
  <c r="M33" i="15" s="1"/>
  <c r="X23" i="15"/>
  <c r="Y23" i="15" s="1"/>
  <c r="K23" i="15" s="1"/>
  <c r="L23" i="15" s="1"/>
  <c r="M23" i="15" s="1"/>
  <c r="X41" i="15"/>
  <c r="Y41" i="15" s="1"/>
  <c r="K41" i="15" s="1"/>
  <c r="L41" i="15"/>
  <c r="M41" i="15" s="1"/>
  <c r="L29" i="14"/>
  <c r="F29" i="14" s="1"/>
  <c r="M29" i="14"/>
  <c r="H29" i="14" s="1"/>
  <c r="L34" i="14"/>
  <c r="L37" i="14" s="1"/>
  <c r="M37" i="14" s="1"/>
  <c r="L39" i="14" s="1"/>
  <c r="M39" i="14" s="1"/>
  <c r="N39" i="14" s="1"/>
  <c r="C37" i="14" s="1"/>
  <c r="L30" i="14"/>
  <c r="F30" i="14" s="1"/>
  <c r="M30" i="14"/>
  <c r="H30" i="14" s="1"/>
  <c r="K42" i="11"/>
  <c r="K32" i="11"/>
  <c r="K33" i="11" s="1"/>
  <c r="O33" i="11" s="1"/>
  <c r="K34" i="11"/>
  <c r="O34" i="11" s="1"/>
  <c r="K35" i="11" s="1"/>
  <c r="D38" i="11" s="1"/>
  <c r="G38" i="11" s="1"/>
  <c r="T33" i="1"/>
  <c r="U33" i="1" s="1"/>
  <c r="K33" i="1" s="1"/>
  <c r="L33" i="1" s="1"/>
  <c r="M33" i="1" s="1"/>
  <c r="T18" i="1"/>
  <c r="U18" i="1" s="1"/>
  <c r="K18" i="1" s="1"/>
  <c r="L18" i="1" s="1"/>
  <c r="M18" i="1" s="1"/>
  <c r="E32" i="13"/>
  <c r="L32" i="11"/>
  <c r="E36" i="13"/>
  <c r="J34" i="13"/>
  <c r="I34" i="13"/>
  <c r="K35" i="17"/>
  <c r="L35" i="17" s="1"/>
  <c r="N35" i="17" s="1"/>
  <c r="K36" i="17" s="1"/>
  <c r="L36" i="17" s="1"/>
  <c r="D41" i="17" s="1"/>
  <c r="G41" i="17" s="1"/>
  <c r="E44" i="13"/>
  <c r="T28" i="1"/>
  <c r="U28" i="1" s="1"/>
  <c r="K28" i="1" s="1"/>
  <c r="L28" i="1"/>
  <c r="M28" i="1" s="1"/>
  <c r="E40" i="13"/>
  <c r="T31" i="1"/>
  <c r="U31" i="1" s="1"/>
  <c r="K31" i="1" s="1"/>
  <c r="L31" i="1" s="1"/>
  <c r="M31" i="1" s="1"/>
  <c r="T26" i="1"/>
  <c r="U26" i="1" s="1"/>
  <c r="K26" i="1" s="1"/>
  <c r="L26" i="1" s="1"/>
  <c r="M26" i="1" s="1"/>
  <c r="X37" i="15"/>
  <c r="Y37" i="15" s="1"/>
  <c r="K37" i="15" s="1"/>
  <c r="L37" i="15" s="1"/>
  <c r="M37" i="15" s="1"/>
  <c r="I35" i="13"/>
  <c r="J35" i="13"/>
  <c r="T17" i="1"/>
  <c r="U17" i="1" s="1"/>
  <c r="K17" i="1" s="1"/>
  <c r="L17" i="1" s="1"/>
  <c r="M17" i="1" s="1"/>
  <c r="M45" i="11"/>
  <c r="M46" i="11" s="1"/>
  <c r="L24" i="12" l="1"/>
  <c r="J34" i="12"/>
  <c r="M43" i="12"/>
  <c r="L43" i="12"/>
  <c r="M44" i="12" s="1"/>
  <c r="L42" i="12"/>
  <c r="K44" i="12"/>
  <c r="J44" i="12"/>
  <c r="J46" i="12" s="1"/>
  <c r="N42" i="12"/>
  <c r="N43" i="12" s="1"/>
  <c r="N44" i="12" s="1"/>
  <c r="H47" i="12" s="1"/>
  <c r="D37" i="14"/>
  <c r="P40" i="13"/>
  <c r="M40" i="13" s="1"/>
  <c r="O40" i="13"/>
  <c r="F40" i="13" s="1"/>
  <c r="G40" i="13" s="1"/>
  <c r="P32" i="13"/>
  <c r="M32" i="13" s="1"/>
  <c r="O32" i="13"/>
  <c r="F32" i="13" s="1"/>
  <c r="G32" i="13" s="1"/>
  <c r="N32" i="11"/>
  <c r="D32" i="11" s="1"/>
  <c r="L33" i="11"/>
  <c r="N33" i="11" s="1"/>
  <c r="L34" i="11" s="1"/>
  <c r="N34" i="11" s="1"/>
  <c r="L35" i="11" s="1"/>
  <c r="D35" i="11" s="1"/>
  <c r="G35" i="11" s="1"/>
  <c r="J47" i="12"/>
  <c r="K48" i="12" s="1"/>
  <c r="J48" i="12" s="1"/>
  <c r="J49" i="12" s="1"/>
  <c r="K50" i="12" s="1"/>
  <c r="J50" i="12" s="1"/>
  <c r="D47" i="12" s="1"/>
  <c r="G47" i="12" s="1"/>
  <c r="M46" i="12"/>
  <c r="I47" i="12" s="1"/>
  <c r="P42" i="12"/>
  <c r="P43" i="12" s="1"/>
  <c r="P44" i="12" s="1"/>
  <c r="H48" i="12" s="1"/>
  <c r="K43" i="11"/>
  <c r="K44" i="11" s="1"/>
  <c r="K45" i="11" s="1"/>
  <c r="K46" i="11" s="1"/>
  <c r="O46" i="11" s="1"/>
  <c r="O47" i="11" s="1"/>
  <c r="D46" i="11" s="1"/>
  <c r="G46" i="11" s="1"/>
  <c r="N42" i="11"/>
  <c r="P42" i="11" s="1"/>
  <c r="D40" i="11" s="1"/>
  <c r="P44" i="13"/>
  <c r="M44" i="13" s="1"/>
  <c r="O44" i="13"/>
  <c r="F44" i="13" s="1"/>
  <c r="G44" i="13" s="1"/>
  <c r="O36" i="13"/>
  <c r="F36" i="13" s="1"/>
  <c r="G36" i="13" s="1"/>
  <c r="P36" i="13"/>
  <c r="M36" i="13" s="1"/>
  <c r="L44" i="12" l="1"/>
  <c r="L46" i="12" s="1"/>
  <c r="K34" i="12"/>
  <c r="L34" i="12" s="1"/>
  <c r="M34" i="12" s="1"/>
  <c r="M35" i="12" s="1"/>
  <c r="L36" i="12" s="1"/>
  <c r="M36" i="12" s="1"/>
  <c r="N36" i="12" s="1"/>
  <c r="D39" i="12" s="1"/>
  <c r="L26" i="12"/>
  <c r="L28" i="12" s="1"/>
  <c r="J32" i="13"/>
  <c r="I32" i="13"/>
  <c r="L41" i="14"/>
  <c r="M35" i="14"/>
  <c r="E37" i="14" s="1"/>
  <c r="F37" i="14" s="1"/>
  <c r="L43" i="14" s="1"/>
  <c r="H37" i="14" s="1"/>
  <c r="I40" i="13"/>
  <c r="J40" i="13"/>
  <c r="L47" i="12"/>
  <c r="M48" i="12" s="1"/>
  <c r="L48" i="12" s="1"/>
  <c r="L49" i="12" s="1"/>
  <c r="M50" i="12" s="1"/>
  <c r="L50" i="12" s="1"/>
  <c r="D48" i="12" s="1"/>
  <c r="G48" i="12" s="1"/>
  <c r="N46" i="12"/>
  <c r="I48" i="12" s="1"/>
  <c r="J36" i="13"/>
  <c r="I36" i="13"/>
  <c r="I44" i="13"/>
  <c r="J44" i="13"/>
  <c r="L29" i="12" l="1"/>
  <c r="L30" i="12" s="1"/>
  <c r="M30" i="12" s="1"/>
  <c r="M32" i="12" s="1"/>
  <c r="D38" i="12" s="1"/>
  <c r="M28" i="12"/>
  <c r="N29" i="12" s="1"/>
  <c r="D32" i="12" s="1"/>
</calcChain>
</file>

<file path=xl/sharedStrings.xml><?xml version="1.0" encoding="utf-8"?>
<sst xmlns="http://schemas.openxmlformats.org/spreadsheetml/2006/main" count="831" uniqueCount="256">
  <si>
    <t>C1</t>
  </si>
  <si>
    <t>J</t>
  </si>
  <si>
    <t>As</t>
  </si>
  <si>
    <t>b (cm)</t>
  </si>
  <si>
    <t>d (cm)</t>
  </si>
  <si>
    <t>f</t>
  </si>
  <si>
    <t>Breadth</t>
  </si>
  <si>
    <t>Depth</t>
  </si>
  <si>
    <r>
      <t>kg/cm</t>
    </r>
    <r>
      <rPr>
        <b/>
        <vertAlign val="superscript"/>
        <sz val="11"/>
        <rFont val="Arial"/>
        <family val="2"/>
        <charset val="178"/>
      </rPr>
      <t>2</t>
    </r>
  </si>
  <si>
    <r>
      <t>Concrete F</t>
    </r>
    <r>
      <rPr>
        <b/>
        <vertAlign val="subscript"/>
        <sz val="11"/>
        <rFont val="Arial"/>
        <family val="2"/>
        <charset val="178"/>
      </rPr>
      <t xml:space="preserve">cu </t>
    </r>
    <r>
      <rPr>
        <b/>
        <sz val="11"/>
        <rFont val="Arial"/>
        <family val="2"/>
        <charset val="178"/>
      </rPr>
      <t>=</t>
    </r>
  </si>
  <si>
    <t>Sec.</t>
  </si>
  <si>
    <t>no. of</t>
  </si>
  <si>
    <t>Used</t>
  </si>
  <si>
    <t>Notes</t>
  </si>
  <si>
    <r>
      <t>Concrete q</t>
    </r>
    <r>
      <rPr>
        <b/>
        <vertAlign val="subscript"/>
        <sz val="11"/>
        <rFont val="Arial"/>
        <family val="2"/>
        <charset val="178"/>
      </rPr>
      <t>all</t>
    </r>
    <r>
      <rPr>
        <b/>
        <sz val="11"/>
        <rFont val="Arial"/>
        <family val="2"/>
        <charset val="178"/>
      </rPr>
      <t xml:space="preserve"> =</t>
    </r>
  </si>
  <si>
    <t>Ult. Shear</t>
  </si>
  <si>
    <t>S</t>
  </si>
  <si>
    <t>bran.</t>
  </si>
  <si>
    <t>* Design of Beams</t>
  </si>
  <si>
    <r>
      <t>Bearing capacity q</t>
    </r>
    <r>
      <rPr>
        <b/>
        <vertAlign val="subscript"/>
        <sz val="11"/>
        <rFont val="Arial"/>
        <family val="2"/>
        <charset val="178"/>
      </rPr>
      <t>all</t>
    </r>
    <r>
      <rPr>
        <b/>
        <sz val="11"/>
        <rFont val="Arial"/>
        <family val="2"/>
        <charset val="178"/>
      </rPr>
      <t xml:space="preserve"> =</t>
    </r>
  </si>
  <si>
    <t>F1</t>
  </si>
  <si>
    <t>foot</t>
  </si>
  <si>
    <t>column</t>
  </si>
  <si>
    <t>t (cm)</t>
  </si>
  <si>
    <t>Column working load</t>
  </si>
  <si>
    <t>extension</t>
  </si>
  <si>
    <t>of P.C (cm)</t>
  </si>
  <si>
    <t>B (cm)</t>
  </si>
  <si>
    <t>L (cm)</t>
  </si>
  <si>
    <t>As /m</t>
  </si>
  <si>
    <t>no.</t>
  </si>
  <si>
    <t>/m</t>
  </si>
  <si>
    <t>total no.</t>
  </si>
  <si>
    <t>* Project :</t>
  </si>
  <si>
    <r>
      <t>Concrete              F</t>
    </r>
    <r>
      <rPr>
        <b/>
        <vertAlign val="subscript"/>
        <sz val="11"/>
        <rFont val="Arial"/>
        <family val="2"/>
        <charset val="178"/>
      </rPr>
      <t xml:space="preserve">cu </t>
    </r>
    <r>
      <rPr>
        <b/>
        <sz val="11"/>
        <rFont val="Arial"/>
        <family val="2"/>
        <charset val="178"/>
      </rPr>
      <t>=</t>
    </r>
  </si>
  <si>
    <t>Dims. of P.C :</t>
  </si>
  <si>
    <t>Dims. of R.C :</t>
  </si>
  <si>
    <t>Calculation of Rft. :</t>
  </si>
  <si>
    <t>Long Rft. :</t>
  </si>
  <si>
    <t>Short Rft. :</t>
  </si>
  <si>
    <t>* Check shear in beams</t>
  </si>
  <si>
    <r>
      <t>N</t>
    </r>
    <r>
      <rPr>
        <b/>
        <vertAlign val="subscript"/>
        <sz val="10"/>
        <rFont val="Arial"/>
        <family val="2"/>
        <charset val="178"/>
      </rPr>
      <t>w</t>
    </r>
    <r>
      <rPr>
        <b/>
        <sz val="10"/>
        <rFont val="Arial"/>
        <family val="2"/>
        <charset val="178"/>
      </rPr>
      <t xml:space="preserve"> (ton)</t>
    </r>
  </si>
  <si>
    <t>* Design of Slabs</t>
  </si>
  <si>
    <r>
      <t>Steel                     F</t>
    </r>
    <r>
      <rPr>
        <b/>
        <vertAlign val="subscript"/>
        <sz val="11"/>
        <rFont val="Arial"/>
        <family val="2"/>
        <charset val="178"/>
      </rPr>
      <t xml:space="preserve">y   </t>
    </r>
    <r>
      <rPr>
        <b/>
        <sz val="11"/>
        <rFont val="Arial"/>
        <family val="2"/>
        <charset val="178"/>
      </rPr>
      <t>=</t>
    </r>
  </si>
  <si>
    <r>
      <t>Steel        F</t>
    </r>
    <r>
      <rPr>
        <b/>
        <vertAlign val="subscript"/>
        <sz val="11"/>
        <rFont val="Arial"/>
        <family val="2"/>
        <charset val="178"/>
      </rPr>
      <t xml:space="preserve">y   </t>
    </r>
    <r>
      <rPr>
        <b/>
        <sz val="11"/>
        <rFont val="Arial"/>
        <family val="2"/>
        <charset val="178"/>
      </rPr>
      <t>=</t>
    </r>
  </si>
  <si>
    <t>by</t>
  </si>
  <si>
    <t>Eng. Mahmoud M. El-Kateb</t>
  </si>
  <si>
    <t>Structural Engineering Dept.</t>
  </si>
  <si>
    <t>Faculty of Engineering - Ain Shams University</t>
  </si>
  <si>
    <t>* Design of slabs</t>
  </si>
  <si>
    <t>* Design of beams</t>
  </si>
  <si>
    <t>* Design for Torsion</t>
  </si>
  <si>
    <r>
      <t>Horizontal bars F</t>
    </r>
    <r>
      <rPr>
        <b/>
        <vertAlign val="subscript"/>
        <sz val="11"/>
        <rFont val="Arial"/>
        <family val="2"/>
        <charset val="178"/>
      </rPr>
      <t xml:space="preserve">y </t>
    </r>
    <r>
      <rPr>
        <b/>
        <sz val="11"/>
        <rFont val="Arial"/>
        <family val="2"/>
        <charset val="178"/>
      </rPr>
      <t xml:space="preserve"> =</t>
    </r>
  </si>
  <si>
    <t>Ult. torsional moment</t>
  </si>
  <si>
    <r>
      <t>Concrete          q</t>
    </r>
    <r>
      <rPr>
        <b/>
        <vertAlign val="subscript"/>
        <sz val="11"/>
        <rFont val="Arial"/>
        <family val="2"/>
        <charset val="178"/>
      </rPr>
      <t>all</t>
    </r>
    <r>
      <rPr>
        <b/>
        <sz val="11"/>
        <rFont val="Arial"/>
        <family val="2"/>
        <charset val="178"/>
      </rPr>
      <t xml:space="preserve"> =</t>
    </r>
  </si>
  <si>
    <t>Due to shear</t>
  </si>
  <si>
    <t>Due to torsion</t>
  </si>
  <si>
    <r>
      <t>M</t>
    </r>
    <r>
      <rPr>
        <b/>
        <vertAlign val="subscript"/>
        <sz val="10"/>
        <rFont val="Arial"/>
        <family val="2"/>
        <charset val="178"/>
      </rPr>
      <t>u</t>
    </r>
    <r>
      <rPr>
        <b/>
        <sz val="10"/>
        <rFont val="Arial"/>
        <charset val="178"/>
      </rPr>
      <t xml:space="preserve"> (m.t)</t>
    </r>
  </si>
  <si>
    <r>
      <t>Q</t>
    </r>
    <r>
      <rPr>
        <b/>
        <vertAlign val="subscript"/>
        <sz val="10"/>
        <rFont val="Arial"/>
        <family val="2"/>
        <charset val="178"/>
      </rPr>
      <t>u</t>
    </r>
    <r>
      <rPr>
        <b/>
        <sz val="10"/>
        <rFont val="Arial"/>
        <charset val="178"/>
      </rPr>
      <t xml:space="preserve"> (ton)</t>
    </r>
  </si>
  <si>
    <t>Calculation of stirrups:</t>
  </si>
  <si>
    <t>Horizontal Rft.</t>
  </si>
  <si>
    <t>* Design for torsion</t>
  </si>
  <si>
    <t>* Deflection of Cantilevers</t>
  </si>
  <si>
    <t>* Deflection of cantilevers</t>
  </si>
  <si>
    <r>
      <t>Concrete   F</t>
    </r>
    <r>
      <rPr>
        <b/>
        <vertAlign val="subscript"/>
        <sz val="11"/>
        <rFont val="Arial"/>
        <family val="2"/>
        <charset val="178"/>
      </rPr>
      <t xml:space="preserve">cu </t>
    </r>
    <r>
      <rPr>
        <b/>
        <sz val="11"/>
        <rFont val="Arial"/>
        <family val="2"/>
        <charset val="178"/>
      </rPr>
      <t>=</t>
    </r>
  </si>
  <si>
    <r>
      <t>Steel          F</t>
    </r>
    <r>
      <rPr>
        <b/>
        <vertAlign val="subscript"/>
        <sz val="11"/>
        <rFont val="Arial"/>
        <family val="2"/>
        <charset val="178"/>
      </rPr>
      <t xml:space="preserve">y   </t>
    </r>
    <r>
      <rPr>
        <b/>
        <sz val="11"/>
        <rFont val="Arial"/>
        <family val="2"/>
        <charset val="178"/>
      </rPr>
      <t>=</t>
    </r>
  </si>
  <si>
    <t>L (m)</t>
  </si>
  <si>
    <t>area</t>
  </si>
  <si>
    <t>Properties of sec:</t>
  </si>
  <si>
    <t>Top Rft.:</t>
  </si>
  <si>
    <t>Bottom Rft.:</t>
  </si>
  <si>
    <r>
      <t>P</t>
    </r>
    <r>
      <rPr>
        <b/>
        <vertAlign val="subscript"/>
        <sz val="10"/>
        <rFont val="Arial"/>
        <family val="2"/>
        <charset val="178"/>
      </rPr>
      <t>DL</t>
    </r>
    <r>
      <rPr>
        <b/>
        <sz val="10"/>
        <rFont val="Arial"/>
        <family val="2"/>
        <charset val="178"/>
      </rPr>
      <t xml:space="preserve"> (t)</t>
    </r>
  </si>
  <si>
    <r>
      <t>P</t>
    </r>
    <r>
      <rPr>
        <b/>
        <vertAlign val="subscript"/>
        <sz val="10"/>
        <rFont val="Arial"/>
        <family val="2"/>
        <charset val="178"/>
      </rPr>
      <t>LL</t>
    </r>
    <r>
      <rPr>
        <b/>
        <sz val="10"/>
        <rFont val="Arial"/>
        <family val="2"/>
        <charset val="178"/>
      </rPr>
      <t xml:space="preserve"> (t)</t>
    </r>
  </si>
  <si>
    <r>
      <t>W</t>
    </r>
    <r>
      <rPr>
        <b/>
        <vertAlign val="subscript"/>
        <sz val="10"/>
        <rFont val="Arial"/>
        <family val="2"/>
        <charset val="178"/>
      </rPr>
      <t>DL</t>
    </r>
    <r>
      <rPr>
        <b/>
        <sz val="10"/>
        <rFont val="Arial"/>
        <family val="2"/>
        <charset val="178"/>
      </rPr>
      <t xml:space="preserve"> (t/m)</t>
    </r>
  </si>
  <si>
    <r>
      <t>W</t>
    </r>
    <r>
      <rPr>
        <b/>
        <vertAlign val="subscript"/>
        <sz val="10"/>
        <rFont val="Arial"/>
        <family val="2"/>
        <charset val="178"/>
      </rPr>
      <t>LL</t>
    </r>
    <r>
      <rPr>
        <b/>
        <sz val="10"/>
        <rFont val="Arial"/>
        <family val="2"/>
        <charset val="178"/>
      </rPr>
      <t xml:space="preserve"> (t/m)</t>
    </r>
  </si>
  <si>
    <t>Working loads:</t>
  </si>
  <si>
    <t>Initial deflection:</t>
  </si>
  <si>
    <t>Allowable value:</t>
  </si>
  <si>
    <t>cm</t>
  </si>
  <si>
    <t>* Deflection of Simples</t>
  </si>
  <si>
    <t>* Deflection of simples</t>
  </si>
  <si>
    <r>
      <t>Stirrups   F</t>
    </r>
    <r>
      <rPr>
        <b/>
        <vertAlign val="subscript"/>
        <sz val="11"/>
        <rFont val="Arial"/>
        <family val="2"/>
        <charset val="178"/>
      </rPr>
      <t xml:space="preserve">y   </t>
    </r>
    <r>
      <rPr>
        <b/>
        <sz val="11"/>
        <rFont val="Arial"/>
        <family val="2"/>
        <charset val="178"/>
      </rPr>
      <t>=</t>
    </r>
  </si>
  <si>
    <r>
      <t>Stirrups             F</t>
    </r>
    <r>
      <rPr>
        <b/>
        <vertAlign val="subscript"/>
        <sz val="11"/>
        <rFont val="Arial"/>
        <family val="2"/>
        <charset val="178"/>
      </rPr>
      <t xml:space="preserve">y   </t>
    </r>
    <r>
      <rPr>
        <b/>
        <sz val="11"/>
        <rFont val="Arial"/>
        <family val="2"/>
        <charset val="178"/>
      </rPr>
      <t>=</t>
    </r>
  </si>
  <si>
    <r>
      <t>Concrete          F</t>
    </r>
    <r>
      <rPr>
        <b/>
        <vertAlign val="subscript"/>
        <sz val="11"/>
        <rFont val="Arial"/>
        <family val="2"/>
        <charset val="178"/>
      </rPr>
      <t xml:space="preserve">cu </t>
    </r>
    <r>
      <rPr>
        <b/>
        <sz val="11"/>
        <rFont val="Arial"/>
        <family val="2"/>
        <charset val="178"/>
      </rPr>
      <t>=</t>
    </r>
  </si>
  <si>
    <t>Ult. Load</t>
  </si>
  <si>
    <r>
      <t>N</t>
    </r>
    <r>
      <rPr>
        <b/>
        <vertAlign val="subscript"/>
        <sz val="10"/>
        <rFont val="Arial"/>
        <family val="2"/>
        <charset val="178"/>
      </rPr>
      <t>u</t>
    </r>
    <r>
      <rPr>
        <b/>
        <sz val="10"/>
        <rFont val="Arial"/>
        <charset val="178"/>
      </rPr>
      <t xml:space="preserve"> (ton)</t>
    </r>
  </si>
  <si>
    <t>desired</t>
  </si>
  <si>
    <t>m %</t>
  </si>
  <si>
    <t>Col.</t>
  </si>
  <si>
    <r>
      <t>M</t>
    </r>
    <r>
      <rPr>
        <b/>
        <vertAlign val="subscript"/>
        <sz val="10"/>
        <rFont val="Arial"/>
        <family val="2"/>
        <charset val="178"/>
      </rPr>
      <t>u</t>
    </r>
    <r>
      <rPr>
        <b/>
        <sz val="10"/>
        <rFont val="Arial"/>
        <family val="2"/>
        <charset val="178"/>
      </rPr>
      <t xml:space="preserve"> (m.t)</t>
    </r>
  </si>
  <si>
    <r>
      <t>Q</t>
    </r>
    <r>
      <rPr>
        <b/>
        <vertAlign val="subscript"/>
        <sz val="10"/>
        <rFont val="Arial"/>
        <family val="2"/>
        <charset val="178"/>
      </rPr>
      <t>u</t>
    </r>
    <r>
      <rPr>
        <b/>
        <sz val="10"/>
        <rFont val="Arial"/>
        <family val="2"/>
        <charset val="178"/>
      </rPr>
      <t xml:space="preserve"> (ton)</t>
    </r>
  </si>
  <si>
    <t>Ult. Moment</t>
  </si>
  <si>
    <t>Ult. shear force</t>
  </si>
  <si>
    <t>Thickness</t>
  </si>
  <si>
    <t>Span</t>
  </si>
  <si>
    <t>After long term:</t>
  </si>
  <si>
    <t>Notes:</t>
  </si>
  <si>
    <t>* Calculation of coefficients</t>
  </si>
  <si>
    <t>* Calculation of Coeffecients</t>
  </si>
  <si>
    <t>Area</t>
  </si>
  <si>
    <t>Long span</t>
  </si>
  <si>
    <t>Slabs:</t>
  </si>
  <si>
    <t>Long</t>
  </si>
  <si>
    <t>Span (m)</t>
  </si>
  <si>
    <t>Short</t>
  </si>
  <si>
    <t>Marcus</t>
  </si>
  <si>
    <t>Code of practice</t>
  </si>
  <si>
    <t>Short span</t>
  </si>
  <si>
    <t>a</t>
  </si>
  <si>
    <t>b</t>
  </si>
  <si>
    <t>Grashoff</t>
  </si>
  <si>
    <t>contin.</t>
  </si>
  <si>
    <t>Beams:</t>
  </si>
  <si>
    <t>span (m)</t>
  </si>
  <si>
    <t>Load on</t>
  </si>
  <si>
    <r>
      <t>slab (t/m</t>
    </r>
    <r>
      <rPr>
        <b/>
        <vertAlign val="superscript"/>
        <sz val="10"/>
        <rFont val="Arial"/>
        <family val="2"/>
        <charset val="178"/>
      </rPr>
      <t>2</t>
    </r>
    <r>
      <rPr>
        <b/>
        <sz val="10"/>
        <rFont val="Arial"/>
        <charset val="178"/>
      </rPr>
      <t>)</t>
    </r>
  </si>
  <si>
    <t>Load coeff.</t>
  </si>
  <si>
    <t>shear</t>
  </si>
  <si>
    <t>moment</t>
  </si>
  <si>
    <t>shear (t/m`)</t>
  </si>
  <si>
    <t>moment (t/m`)</t>
  </si>
  <si>
    <t>Load distribution for</t>
  </si>
  <si>
    <t>* Design of Combined footings</t>
  </si>
  <si>
    <t>Col</t>
  </si>
  <si>
    <t>Distance from c.g to c.g:</t>
  </si>
  <si>
    <t>m</t>
  </si>
  <si>
    <t>minimum</t>
  </si>
  <si>
    <t>Longitudinal direction:</t>
  </si>
  <si>
    <t>Top Rft. :</t>
  </si>
  <si>
    <t>Bottom Rft. :</t>
  </si>
  <si>
    <t>Transverse direction:</t>
  </si>
  <si>
    <t>* Design of isolated footings</t>
  </si>
  <si>
    <t>* Design of combined footings</t>
  </si>
  <si>
    <t>* Design of Isolated footings</t>
  </si>
  <si>
    <r>
      <t>Reinforced Concrete Design</t>
    </r>
    <r>
      <rPr>
        <b/>
        <i/>
        <vertAlign val="superscript"/>
        <sz val="26"/>
        <rFont val="Times New Roman"/>
        <family val="1"/>
        <charset val="178"/>
      </rPr>
      <t>©</t>
    </r>
  </si>
  <si>
    <t>Resultant of 2 loads is at:</t>
  </si>
  <si>
    <t>trans.</t>
  </si>
  <si>
    <t>long.</t>
  </si>
  <si>
    <t>dim. (cm)</t>
  </si>
  <si>
    <t>Sec. dim.</t>
  </si>
  <si>
    <t>dim of column</t>
  </si>
  <si>
    <t>column dim.</t>
  </si>
  <si>
    <t>inter.</t>
  </si>
  <si>
    <t>from external column</t>
  </si>
  <si>
    <t>exter.</t>
  </si>
  <si>
    <t>Take eccentricity =</t>
  </si>
  <si>
    <t>external footing</t>
  </si>
  <si>
    <t>internal footing</t>
  </si>
  <si>
    <t>Dim. Of strap beam :</t>
  </si>
  <si>
    <t>Rft. Of strap beam :</t>
  </si>
  <si>
    <t>Top Rft.</t>
  </si>
  <si>
    <t>Bottom Rft.</t>
  </si>
  <si>
    <t>Stirrups :</t>
  </si>
  <si>
    <t>branches</t>
  </si>
  <si>
    <t>* Design of strap footings</t>
  </si>
  <si>
    <t>* Design of Strap footings</t>
  </si>
  <si>
    <r>
      <t>Stirrups                F</t>
    </r>
    <r>
      <rPr>
        <b/>
        <vertAlign val="subscript"/>
        <sz val="11"/>
        <rFont val="Arial"/>
        <family val="2"/>
        <charset val="178"/>
      </rPr>
      <t xml:space="preserve">y   </t>
    </r>
    <r>
      <rPr>
        <b/>
        <sz val="11"/>
        <rFont val="Arial"/>
        <family val="2"/>
        <charset val="178"/>
      </rPr>
      <t>=</t>
    </r>
  </si>
  <si>
    <r>
      <t>q</t>
    </r>
    <r>
      <rPr>
        <b/>
        <vertAlign val="subscript"/>
        <sz val="10"/>
        <color indexed="18"/>
        <rFont val="Arial"/>
        <family val="2"/>
        <charset val="178"/>
      </rPr>
      <t>u</t>
    </r>
  </si>
  <si>
    <r>
      <t>Shear stress (kg/cm</t>
    </r>
    <r>
      <rPr>
        <b/>
        <i/>
        <vertAlign val="superscript"/>
        <sz val="10"/>
        <color indexed="18"/>
        <rFont val="Arial"/>
        <family val="2"/>
        <charset val="178"/>
      </rPr>
      <t>2</t>
    </r>
    <r>
      <rPr>
        <b/>
        <i/>
        <sz val="10"/>
        <color indexed="18"/>
        <rFont val="Arial"/>
        <family val="2"/>
        <charset val="178"/>
      </rPr>
      <t>)</t>
    </r>
  </si>
  <si>
    <r>
      <t>Punching stress (kg/cm</t>
    </r>
    <r>
      <rPr>
        <b/>
        <i/>
        <vertAlign val="superscript"/>
        <sz val="10"/>
        <color indexed="18"/>
        <rFont val="Arial"/>
        <family val="2"/>
        <charset val="178"/>
      </rPr>
      <t>2</t>
    </r>
    <r>
      <rPr>
        <b/>
        <i/>
        <sz val="10"/>
        <color indexed="18"/>
        <rFont val="Arial"/>
        <family val="2"/>
        <charset val="178"/>
      </rPr>
      <t>)</t>
    </r>
  </si>
  <si>
    <r>
      <t>As</t>
    </r>
    <r>
      <rPr>
        <b/>
        <vertAlign val="subscript"/>
        <sz val="10"/>
        <color indexed="18"/>
        <rFont val="Arial"/>
        <family val="2"/>
        <charset val="178"/>
      </rPr>
      <t>min</t>
    </r>
  </si>
  <si>
    <r>
      <t>cm</t>
    </r>
    <r>
      <rPr>
        <vertAlign val="superscript"/>
        <sz val="10"/>
        <color indexed="18"/>
        <rFont val="Arial"/>
        <family val="2"/>
        <charset val="178"/>
      </rPr>
      <t>2</t>
    </r>
  </si>
  <si>
    <t>chosen</t>
  </si>
  <si>
    <t>Comp.fl.</t>
  </si>
  <si>
    <t>Using the Ultimate Limit Design Method</t>
  </si>
  <si>
    <r>
      <t>q</t>
    </r>
    <r>
      <rPr>
        <b/>
        <vertAlign val="subscript"/>
        <sz val="10"/>
        <color indexed="18"/>
        <rFont val="Arial"/>
        <family val="2"/>
        <charset val="178"/>
      </rPr>
      <t>su</t>
    </r>
  </si>
  <si>
    <r>
      <t>q</t>
    </r>
    <r>
      <rPr>
        <b/>
        <vertAlign val="subscript"/>
        <sz val="10"/>
        <color indexed="18"/>
        <rFont val="Arial"/>
        <family val="2"/>
        <charset val="178"/>
      </rPr>
      <t>tu</t>
    </r>
  </si>
  <si>
    <t>Hollow Slabs:</t>
  </si>
  <si>
    <t>Web breadth</t>
  </si>
  <si>
    <t>Spacing</t>
  </si>
  <si>
    <t>Thick</t>
  </si>
  <si>
    <t>Slab th</t>
  </si>
  <si>
    <t>F.C</t>
  </si>
  <si>
    <t>L.L</t>
  </si>
  <si>
    <t>One way</t>
  </si>
  <si>
    <t>Two way</t>
  </si>
  <si>
    <t>e (cm)</t>
  </si>
  <si>
    <r>
      <t>t</t>
    </r>
    <r>
      <rPr>
        <b/>
        <vertAlign val="subscript"/>
        <sz val="10"/>
        <rFont val="Arial"/>
        <family val="2"/>
        <charset val="178"/>
      </rPr>
      <t xml:space="preserve">s </t>
    </r>
    <r>
      <rPr>
        <b/>
        <sz val="10"/>
        <rFont val="Arial"/>
        <family val="2"/>
        <charset val="178"/>
      </rPr>
      <t>(cm)</t>
    </r>
  </si>
  <si>
    <r>
      <t>(kg/m</t>
    </r>
    <r>
      <rPr>
        <b/>
        <vertAlign val="superscript"/>
        <sz val="10"/>
        <rFont val="Arial"/>
        <family val="2"/>
        <charset val="178"/>
      </rPr>
      <t>2</t>
    </r>
    <r>
      <rPr>
        <b/>
        <sz val="10"/>
        <rFont val="Arial"/>
        <family val="2"/>
        <charset val="178"/>
      </rPr>
      <t>)</t>
    </r>
  </si>
  <si>
    <r>
      <t>(kg/cm</t>
    </r>
    <r>
      <rPr>
        <b/>
        <vertAlign val="superscript"/>
        <sz val="10"/>
        <color indexed="18"/>
        <rFont val="Arial"/>
        <family val="2"/>
        <charset val="178"/>
      </rPr>
      <t>2</t>
    </r>
    <r>
      <rPr>
        <b/>
        <sz val="10"/>
        <color indexed="18"/>
        <rFont val="Arial"/>
        <charset val="178"/>
      </rPr>
      <t>)</t>
    </r>
  </si>
  <si>
    <r>
      <t>kg/cm</t>
    </r>
    <r>
      <rPr>
        <vertAlign val="superscript"/>
        <sz val="10"/>
        <rFont val="Arial"/>
        <family val="2"/>
        <charset val="178"/>
      </rPr>
      <t>2</t>
    </r>
  </si>
  <si>
    <r>
      <t>cm</t>
    </r>
    <r>
      <rPr>
        <vertAlign val="superscript"/>
        <sz val="10"/>
        <rFont val="Arial"/>
        <family val="2"/>
        <charset val="178"/>
      </rPr>
      <t>2</t>
    </r>
  </si>
  <si>
    <r>
      <t>W</t>
    </r>
    <r>
      <rPr>
        <b/>
        <vertAlign val="subscript"/>
        <sz val="10"/>
        <color indexed="18"/>
        <rFont val="Arial"/>
        <family val="2"/>
        <charset val="178"/>
      </rPr>
      <t>u</t>
    </r>
    <r>
      <rPr>
        <b/>
        <sz val="10"/>
        <color indexed="18"/>
        <rFont val="Arial"/>
        <family val="2"/>
        <charset val="178"/>
      </rPr>
      <t xml:space="preserve"> (t/m`)</t>
    </r>
  </si>
  <si>
    <r>
      <t>W</t>
    </r>
    <r>
      <rPr>
        <b/>
        <vertAlign val="subscript"/>
        <sz val="10"/>
        <color indexed="18"/>
        <rFont val="Arial"/>
        <family val="2"/>
        <charset val="178"/>
      </rPr>
      <t>u</t>
    </r>
    <r>
      <rPr>
        <b/>
        <sz val="10"/>
        <color indexed="18"/>
        <rFont val="Arial"/>
        <family val="2"/>
        <charset val="178"/>
      </rPr>
      <t xml:space="preserve"> (t/m</t>
    </r>
    <r>
      <rPr>
        <b/>
        <vertAlign val="superscript"/>
        <sz val="10"/>
        <color indexed="18"/>
        <rFont val="Arial"/>
        <family val="2"/>
        <charset val="178"/>
      </rPr>
      <t>2</t>
    </r>
    <r>
      <rPr>
        <b/>
        <sz val="10"/>
        <color indexed="18"/>
        <rFont val="Arial"/>
        <family val="2"/>
        <charset val="178"/>
      </rPr>
      <t>)</t>
    </r>
  </si>
  <si>
    <r>
      <t>(cm</t>
    </r>
    <r>
      <rPr>
        <b/>
        <vertAlign val="superscript"/>
        <sz val="10"/>
        <color indexed="18"/>
        <rFont val="Arial"/>
        <family val="2"/>
        <charset val="178"/>
      </rPr>
      <t>2</t>
    </r>
    <r>
      <rPr>
        <b/>
        <sz val="10"/>
        <color indexed="18"/>
        <rFont val="Arial"/>
        <charset val="178"/>
      </rPr>
      <t>)</t>
    </r>
  </si>
  <si>
    <t>* Design of Flat Slab</t>
  </si>
  <si>
    <r>
      <t>Concrete F</t>
    </r>
    <r>
      <rPr>
        <b/>
        <vertAlign val="subscript"/>
        <sz val="11"/>
        <rFont val="Arial"/>
        <family val="2"/>
        <charset val="178"/>
      </rPr>
      <t xml:space="preserve">cu  </t>
    </r>
    <r>
      <rPr>
        <b/>
        <sz val="11"/>
        <rFont val="Arial"/>
        <family val="2"/>
        <charset val="178"/>
      </rPr>
      <t>=</t>
    </r>
  </si>
  <si>
    <t>Module:</t>
  </si>
  <si>
    <t>Long direction</t>
  </si>
  <si>
    <t>Short direc.</t>
  </si>
  <si>
    <t>Marginal beams: 1)Yes   2)No</t>
  </si>
  <si>
    <t>Column dim.:</t>
  </si>
  <si>
    <t>Slab thickness:</t>
  </si>
  <si>
    <t>Live load:</t>
  </si>
  <si>
    <r>
      <t>kg/m</t>
    </r>
    <r>
      <rPr>
        <vertAlign val="superscript"/>
        <sz val="11"/>
        <rFont val="Arial"/>
        <family val="2"/>
        <charset val="178"/>
      </rPr>
      <t>2</t>
    </r>
  </si>
  <si>
    <t>Walls load:</t>
  </si>
  <si>
    <r>
      <t>t/m</t>
    </r>
    <r>
      <rPr>
        <b/>
        <vertAlign val="superscript"/>
        <sz val="11"/>
        <rFont val="Arial"/>
        <family val="2"/>
        <charset val="178"/>
      </rPr>
      <t>2</t>
    </r>
  </si>
  <si>
    <t>Column strip</t>
  </si>
  <si>
    <t>Field strip</t>
  </si>
  <si>
    <t>Short direction</t>
  </si>
  <si>
    <r>
      <t>Slab load W</t>
    </r>
    <r>
      <rPr>
        <b/>
        <vertAlign val="subscript"/>
        <sz val="11"/>
        <rFont val="Arial"/>
        <family val="2"/>
        <charset val="178"/>
      </rPr>
      <t>su</t>
    </r>
    <r>
      <rPr>
        <b/>
        <sz val="11"/>
        <rFont val="Arial"/>
        <family val="2"/>
        <charset val="178"/>
      </rPr>
      <t xml:space="preserve"> = </t>
    </r>
  </si>
  <si>
    <t>* Design of flat slabs</t>
  </si>
  <si>
    <t>Reinforcement</t>
  </si>
  <si>
    <t>Rft. /m</t>
  </si>
  <si>
    <t>Rft.</t>
  </si>
  <si>
    <t>Stirrups</t>
  </si>
  <si>
    <t>* Design of Retaining Walls</t>
  </si>
  <si>
    <r>
      <t>Concrete             F</t>
    </r>
    <r>
      <rPr>
        <b/>
        <vertAlign val="subscript"/>
        <sz val="11"/>
        <rFont val="Arial"/>
        <family val="2"/>
        <charset val="178"/>
      </rPr>
      <t xml:space="preserve">cu   </t>
    </r>
    <r>
      <rPr>
        <b/>
        <sz val="11"/>
        <rFont val="Arial"/>
        <family val="2"/>
        <charset val="178"/>
      </rPr>
      <t>=</t>
    </r>
  </si>
  <si>
    <r>
      <t xml:space="preserve">Soil density </t>
    </r>
    <r>
      <rPr>
        <b/>
        <sz val="11"/>
        <rFont val="Symbol"/>
        <family val="1"/>
        <charset val="178"/>
      </rPr>
      <t>g</t>
    </r>
    <r>
      <rPr>
        <b/>
        <sz val="11"/>
        <rFont val="Arial"/>
        <family val="2"/>
        <charset val="178"/>
      </rPr>
      <t xml:space="preserve">             =</t>
    </r>
  </si>
  <si>
    <r>
      <t>ton/m</t>
    </r>
    <r>
      <rPr>
        <b/>
        <vertAlign val="superscript"/>
        <sz val="11"/>
        <rFont val="Arial"/>
        <family val="2"/>
        <charset val="178"/>
      </rPr>
      <t>3</t>
    </r>
    <r>
      <rPr>
        <sz val="10"/>
        <rFont val="Arial"/>
        <charset val="178"/>
      </rPr>
      <t/>
    </r>
  </si>
  <si>
    <t>force</t>
  </si>
  <si>
    <t>weight</t>
  </si>
  <si>
    <t>slid</t>
  </si>
  <si>
    <t>over</t>
  </si>
  <si>
    <t>stress</t>
  </si>
  <si>
    <t>Cohesion of soil C    =</t>
  </si>
  <si>
    <r>
      <t>Coeff. of earth pressure K</t>
    </r>
    <r>
      <rPr>
        <b/>
        <vertAlign val="subscript"/>
        <sz val="11"/>
        <rFont val="Arial"/>
        <family val="2"/>
        <charset val="178"/>
      </rPr>
      <t>a</t>
    </r>
    <r>
      <rPr>
        <b/>
        <sz val="11"/>
        <rFont val="Arial"/>
        <family val="2"/>
        <charset val="178"/>
      </rPr>
      <t xml:space="preserve"> =</t>
    </r>
  </si>
  <si>
    <t>mom</t>
  </si>
  <si>
    <t>e</t>
  </si>
  <si>
    <t>Factor of safety against sliding =</t>
  </si>
  <si>
    <t>Factor of safety against overturning =</t>
  </si>
  <si>
    <t>Max. stress on soil =</t>
  </si>
  <si>
    <t>Min. stress on soil =</t>
  </si>
  <si>
    <t>For wall</t>
  </si>
  <si>
    <t>For Base</t>
  </si>
  <si>
    <r>
      <t>As (cm</t>
    </r>
    <r>
      <rPr>
        <b/>
        <vertAlign val="superscript"/>
        <sz val="10"/>
        <color indexed="18"/>
        <rFont val="Arial"/>
        <family val="2"/>
        <charset val="178"/>
      </rPr>
      <t>2</t>
    </r>
    <r>
      <rPr>
        <b/>
        <sz val="10"/>
        <color indexed="18"/>
        <rFont val="Arial"/>
        <family val="2"/>
        <charset val="178"/>
      </rPr>
      <t>)</t>
    </r>
  </si>
  <si>
    <r>
      <t xml:space="preserve">As </t>
    </r>
    <r>
      <rPr>
        <b/>
        <vertAlign val="subscript"/>
        <sz val="10"/>
        <color indexed="18"/>
        <rFont val="Arial"/>
        <family val="2"/>
        <charset val="178"/>
      </rPr>
      <t>min</t>
    </r>
  </si>
  <si>
    <t>* Design of retaining walls</t>
  </si>
  <si>
    <t>t/m'</t>
  </si>
  <si>
    <r>
      <t xml:space="preserve">Angle of friction </t>
    </r>
    <r>
      <rPr>
        <b/>
        <sz val="11"/>
        <rFont val="Symbol"/>
        <family val="1"/>
        <charset val="178"/>
      </rPr>
      <t xml:space="preserve">d   </t>
    </r>
    <r>
      <rPr>
        <b/>
        <sz val="11"/>
        <rFont val="Arial"/>
        <family val="2"/>
        <charset val="178"/>
      </rPr>
      <t xml:space="preserve">  =</t>
    </r>
  </si>
  <si>
    <t>degree</t>
  </si>
  <si>
    <t>Normal</t>
  </si>
  <si>
    <t>ecc.</t>
  </si>
  <si>
    <r>
      <t>N</t>
    </r>
    <r>
      <rPr>
        <b/>
        <vertAlign val="subscript"/>
        <sz val="10"/>
        <rFont val="Arial"/>
        <family val="2"/>
        <charset val="178"/>
      </rPr>
      <t>u</t>
    </r>
    <r>
      <rPr>
        <b/>
        <sz val="10"/>
        <rFont val="Arial"/>
        <charset val="178"/>
      </rPr>
      <t xml:space="preserve"> (t)</t>
    </r>
  </si>
  <si>
    <t>* Design of Sec. under M,N</t>
  </si>
  <si>
    <t>* Design of sections under M,N</t>
  </si>
  <si>
    <t>* Design of Rectangular Columns</t>
  </si>
  <si>
    <t>* Design of Circular Columns</t>
  </si>
  <si>
    <t>Diamter</t>
  </si>
  <si>
    <t>D (cm)</t>
  </si>
  <si>
    <t>* Design of rectangular columns</t>
  </si>
  <si>
    <t>* Design of circular columns</t>
  </si>
  <si>
    <t>* Design of isolated footings under moment</t>
  </si>
  <si>
    <t>Moment</t>
  </si>
  <si>
    <t>* Design of Isolated footings under moment</t>
  </si>
  <si>
    <r>
      <t>M</t>
    </r>
    <r>
      <rPr>
        <b/>
        <vertAlign val="subscript"/>
        <sz val="10"/>
        <rFont val="Arial"/>
        <family val="2"/>
        <charset val="178"/>
      </rPr>
      <t>w</t>
    </r>
    <r>
      <rPr>
        <b/>
        <sz val="10"/>
        <rFont val="Arial"/>
        <family val="2"/>
        <charset val="178"/>
      </rPr>
      <t xml:space="preserve"> (m.t)</t>
    </r>
  </si>
  <si>
    <r>
      <t>L</t>
    </r>
    <r>
      <rPr>
        <b/>
        <vertAlign val="subscript"/>
        <sz val="10"/>
        <color indexed="18"/>
        <rFont val="Arial"/>
        <family val="2"/>
        <charset val="178"/>
      </rPr>
      <t>min</t>
    </r>
    <r>
      <rPr>
        <b/>
        <sz val="10"/>
        <color indexed="18"/>
        <rFont val="Arial"/>
        <family val="2"/>
        <charset val="178"/>
      </rPr>
      <t xml:space="preserve"> (cm)</t>
    </r>
  </si>
  <si>
    <t>Choose dim of P.C</t>
  </si>
  <si>
    <r>
      <t>Max. Stree (kg/cm</t>
    </r>
    <r>
      <rPr>
        <b/>
        <i/>
        <vertAlign val="superscript"/>
        <sz val="10"/>
        <color indexed="18"/>
        <rFont val="Arial"/>
        <family val="2"/>
        <charset val="178"/>
      </rPr>
      <t>2</t>
    </r>
    <r>
      <rPr>
        <b/>
        <i/>
        <sz val="10"/>
        <color indexed="18"/>
        <rFont val="Arial"/>
        <family val="2"/>
        <charset val="178"/>
      </rPr>
      <t>) =</t>
    </r>
  </si>
  <si>
    <r>
      <t>Min. Stress (kg/cm</t>
    </r>
    <r>
      <rPr>
        <b/>
        <i/>
        <vertAlign val="superscript"/>
        <sz val="10"/>
        <color indexed="18"/>
        <rFont val="Arial"/>
        <family val="2"/>
        <charset val="178"/>
      </rPr>
      <t>2</t>
    </r>
    <r>
      <rPr>
        <b/>
        <i/>
        <sz val="10"/>
        <color indexed="18"/>
        <rFont val="Arial"/>
        <family val="2"/>
        <charset val="178"/>
      </rPr>
      <t>) =</t>
    </r>
  </si>
  <si>
    <t>Ver.  5.6</t>
  </si>
  <si>
    <t>Cover</t>
  </si>
  <si>
    <t>(cm)</t>
  </si>
  <si>
    <t>Height</t>
  </si>
  <si>
    <t xml:space="preserve"> t (cm)</t>
  </si>
  <si>
    <t>Design of Beams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</si>
</sst>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49" x14ac:knownFonts="1">
    <font>
      <sz val="10"/>
      <name val="Arial"/>
      <charset val="178"/>
    </font>
    <font>
      <sz val="10"/>
      <name val="Arial"/>
      <charset val="178"/>
    </font>
    <font>
      <b/>
      <i/>
      <u/>
      <sz val="16"/>
      <name val="Arial"/>
      <family val="2"/>
      <charset val="178"/>
    </font>
    <font>
      <b/>
      <sz val="11"/>
      <name val="Arial"/>
      <family val="2"/>
      <charset val="178"/>
    </font>
    <font>
      <b/>
      <vertAlign val="subscript"/>
      <sz val="11"/>
      <name val="Arial"/>
      <family val="2"/>
      <charset val="178"/>
    </font>
    <font>
      <b/>
      <vertAlign val="superscript"/>
      <sz val="11"/>
      <name val="Arial"/>
      <family val="2"/>
      <charset val="178"/>
    </font>
    <font>
      <b/>
      <sz val="10"/>
      <name val="Arial"/>
      <charset val="178"/>
    </font>
    <font>
      <b/>
      <sz val="10"/>
      <name val="Symbol"/>
      <family val="1"/>
      <charset val="178"/>
    </font>
    <font>
      <b/>
      <vertAlign val="subscript"/>
      <sz val="10"/>
      <name val="Arial"/>
      <family val="2"/>
      <charset val="178"/>
    </font>
    <font>
      <b/>
      <i/>
      <sz val="10"/>
      <name val="Arial"/>
      <family val="2"/>
      <charset val="178"/>
    </font>
    <font>
      <u/>
      <sz val="10"/>
      <color indexed="12"/>
      <name val="Arial"/>
      <charset val="178"/>
    </font>
    <font>
      <sz val="10"/>
      <name val="Arial"/>
      <family val="2"/>
      <charset val="178"/>
    </font>
    <font>
      <b/>
      <sz val="10"/>
      <name val="Arial"/>
      <family val="2"/>
      <charset val="178"/>
    </font>
    <font>
      <b/>
      <i/>
      <u/>
      <sz val="12"/>
      <name val="Arial"/>
      <family val="2"/>
      <charset val="178"/>
    </font>
    <font>
      <b/>
      <i/>
      <u/>
      <sz val="18"/>
      <name val="Times New Roman"/>
      <family val="1"/>
      <charset val="178"/>
    </font>
    <font>
      <b/>
      <i/>
      <u/>
      <sz val="14"/>
      <name val="Times New Roman"/>
      <family val="1"/>
      <charset val="178"/>
    </font>
    <font>
      <b/>
      <i/>
      <sz val="26"/>
      <name val="Times New Roman"/>
      <family val="1"/>
      <charset val="178"/>
    </font>
    <font>
      <sz val="12"/>
      <name val="Times New Roman"/>
      <family val="1"/>
      <charset val="178"/>
    </font>
    <font>
      <sz val="10"/>
      <name val="Times New Roman"/>
      <family val="1"/>
      <charset val="178"/>
    </font>
    <font>
      <b/>
      <i/>
      <sz val="12"/>
      <name val="Times New Roman"/>
      <family val="1"/>
      <charset val="178"/>
    </font>
    <font>
      <sz val="11"/>
      <name val="Arial"/>
      <family val="2"/>
      <charset val="178"/>
    </font>
    <font>
      <b/>
      <vertAlign val="superscript"/>
      <sz val="10"/>
      <name val="Arial"/>
      <family val="2"/>
      <charset val="178"/>
    </font>
    <font>
      <b/>
      <i/>
      <vertAlign val="superscript"/>
      <sz val="26"/>
      <name val="Times New Roman"/>
      <family val="1"/>
      <charset val="178"/>
    </font>
    <font>
      <b/>
      <i/>
      <sz val="14"/>
      <name val="Times New Roman"/>
      <family val="1"/>
      <charset val="178"/>
    </font>
    <font>
      <b/>
      <sz val="10"/>
      <color indexed="18"/>
      <name val="Arial"/>
      <charset val="178"/>
    </font>
    <font>
      <sz val="10"/>
      <color indexed="18"/>
      <name val="Arial"/>
      <charset val="178"/>
    </font>
    <font>
      <b/>
      <sz val="10"/>
      <color indexed="18"/>
      <name val="Symbol"/>
      <family val="1"/>
      <charset val="178"/>
    </font>
    <font>
      <sz val="10"/>
      <color indexed="18"/>
      <name val="Arial"/>
      <family val="2"/>
      <charset val="178"/>
    </font>
    <font>
      <b/>
      <sz val="10"/>
      <color indexed="18"/>
      <name val="Arial"/>
      <family val="2"/>
      <charset val="178"/>
    </font>
    <font>
      <b/>
      <i/>
      <sz val="10"/>
      <color indexed="18"/>
      <name val="Arial"/>
      <family val="2"/>
      <charset val="178"/>
    </font>
    <font>
      <b/>
      <u/>
      <sz val="10"/>
      <color indexed="18"/>
      <name val="Arial"/>
      <family val="2"/>
      <charset val="178"/>
    </font>
    <font>
      <b/>
      <vertAlign val="subscript"/>
      <sz val="10"/>
      <color indexed="18"/>
      <name val="Arial"/>
      <family val="2"/>
      <charset val="178"/>
    </font>
    <font>
      <b/>
      <i/>
      <vertAlign val="superscript"/>
      <sz val="10"/>
      <color indexed="18"/>
      <name val="Arial"/>
      <family val="2"/>
      <charset val="178"/>
    </font>
    <font>
      <sz val="10"/>
      <name val="Arial"/>
      <charset val="178"/>
    </font>
    <font>
      <vertAlign val="superscript"/>
      <sz val="10"/>
      <color indexed="18"/>
      <name val="Arial"/>
      <family val="2"/>
      <charset val="178"/>
    </font>
    <font>
      <b/>
      <i/>
      <sz val="16"/>
      <name val="Times New Roman"/>
      <family val="1"/>
      <charset val="178"/>
    </font>
    <font>
      <b/>
      <i/>
      <sz val="12"/>
      <color indexed="18"/>
      <name val="Arial"/>
      <family val="2"/>
      <charset val="178"/>
    </font>
    <font>
      <i/>
      <sz val="10"/>
      <color indexed="18"/>
      <name val="Arial"/>
      <family val="2"/>
      <charset val="178"/>
    </font>
    <font>
      <b/>
      <vertAlign val="superscript"/>
      <sz val="10"/>
      <color indexed="18"/>
      <name val="Arial"/>
      <family val="2"/>
      <charset val="178"/>
    </font>
    <font>
      <vertAlign val="superscript"/>
      <sz val="10"/>
      <name val="Arial"/>
      <family val="2"/>
      <charset val="178"/>
    </font>
    <font>
      <vertAlign val="superscript"/>
      <sz val="11"/>
      <name val="Arial"/>
      <family val="2"/>
      <charset val="178"/>
    </font>
    <font>
      <b/>
      <i/>
      <sz val="11"/>
      <color indexed="18"/>
      <name val="Arial"/>
      <family val="2"/>
      <charset val="178"/>
    </font>
    <font>
      <sz val="10"/>
      <color indexed="18"/>
      <name val="Symbol"/>
      <family val="1"/>
      <charset val="178"/>
    </font>
    <font>
      <b/>
      <sz val="11"/>
      <name val="Symbol"/>
      <family val="1"/>
      <charset val="178"/>
    </font>
    <font>
      <sz val="9"/>
      <name val="Arial"/>
      <family val="2"/>
      <charset val="178"/>
    </font>
    <font>
      <i/>
      <sz val="10"/>
      <color indexed="18"/>
      <name val="Arial"/>
      <family val="2"/>
      <charset val="178"/>
    </font>
    <font>
      <sz val="10"/>
      <name val="Arial"/>
      <family val="2"/>
      <charset val="178"/>
    </font>
    <font>
      <b/>
      <sz val="10"/>
      <name val="Arial"/>
      <family val="2"/>
      <charset val="178"/>
    </font>
    <font>
      <b/>
      <i/>
      <sz val="10"/>
      <color indexed="18"/>
      <name val="Arial"/>
      <family val="2"/>
      <charset val="17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295">
    <xf numFmtId="0" fontId="0" fillId="0" borderId="0" xfId="0"/>
    <xf numFmtId="0" fontId="12" fillId="2" borderId="1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12" fillId="2" borderId="1" xfId="0" applyFont="1" applyFill="1" applyBorder="1"/>
    <xf numFmtId="0" fontId="6" fillId="2" borderId="5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left"/>
    </xf>
    <xf numFmtId="0" fontId="26" fillId="2" borderId="5" xfId="0" applyFont="1" applyFill="1" applyBorder="1" applyAlignment="1">
      <alignment horizontal="center"/>
    </xf>
    <xf numFmtId="0" fontId="26" fillId="2" borderId="6" xfId="0" applyFont="1" applyFill="1" applyBorder="1" applyAlignment="1">
      <alignment horizontal="center"/>
    </xf>
    <xf numFmtId="0" fontId="26" fillId="2" borderId="7" xfId="0" applyFont="1" applyFill="1" applyBorder="1" applyAlignment="1">
      <alignment horizontal="center"/>
    </xf>
    <xf numFmtId="0" fontId="28" fillId="2" borderId="5" xfId="0" applyFont="1" applyFill="1" applyBorder="1" applyAlignment="1">
      <alignment horizontal="center"/>
    </xf>
    <xf numFmtId="0" fontId="24" fillId="2" borderId="2" xfId="0" applyFont="1" applyFill="1" applyBorder="1" applyAlignment="1">
      <alignment horizontal="center"/>
    </xf>
    <xf numFmtId="0" fontId="24" fillId="2" borderId="4" xfId="0" applyFont="1" applyFill="1" applyBorder="1" applyAlignment="1">
      <alignment horizontal="center"/>
    </xf>
    <xf numFmtId="0" fontId="26" fillId="2" borderId="8" xfId="0" applyFont="1" applyFill="1" applyBorder="1" applyAlignment="1">
      <alignment horizontal="center"/>
    </xf>
    <xf numFmtId="0" fontId="30" fillId="2" borderId="2" xfId="0" applyFont="1" applyFill="1" applyBorder="1" applyAlignment="1">
      <alignment horizontal="center"/>
    </xf>
    <xf numFmtId="0" fontId="29" fillId="2" borderId="1" xfId="0" applyFont="1" applyFill="1" applyBorder="1" applyAlignment="1">
      <alignment horizontal="center"/>
    </xf>
    <xf numFmtId="0" fontId="28" fillId="2" borderId="1" xfId="0" applyFont="1" applyFill="1" applyBorder="1" applyAlignment="1">
      <alignment horizontal="center"/>
    </xf>
    <xf numFmtId="0" fontId="24" fillId="2" borderId="5" xfId="0" applyFont="1" applyFill="1" applyBorder="1" applyAlignment="1">
      <alignment horizontal="center"/>
    </xf>
    <xf numFmtId="0" fontId="25" fillId="2" borderId="1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0" fillId="2" borderId="0" xfId="0" applyFill="1"/>
    <xf numFmtId="0" fontId="0" fillId="3" borderId="0" xfId="0" applyFill="1"/>
    <xf numFmtId="0" fontId="17" fillId="3" borderId="0" xfId="0" applyFont="1" applyFill="1" applyAlignment="1">
      <alignment horizontal="center"/>
    </xf>
    <xf numFmtId="0" fontId="18" fillId="3" borderId="0" xfId="0" applyFont="1" applyFill="1" applyAlignment="1">
      <alignment horizontal="center"/>
    </xf>
    <xf numFmtId="0" fontId="19" fillId="3" borderId="0" xfId="0" applyFont="1" applyFill="1"/>
    <xf numFmtId="0" fontId="14" fillId="3" borderId="0" xfId="0" applyFont="1" applyFill="1"/>
    <xf numFmtId="0" fontId="15" fillId="3" borderId="0" xfId="0" applyFont="1" applyFill="1"/>
    <xf numFmtId="0" fontId="13" fillId="3" borderId="0" xfId="0" applyFont="1" applyFill="1"/>
    <xf numFmtId="164" fontId="37" fillId="3" borderId="5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11" fillId="3" borderId="0" xfId="0" applyFont="1" applyFill="1" applyAlignment="1"/>
    <xf numFmtId="164" fontId="37" fillId="3" borderId="9" xfId="0" applyNumberFormat="1" applyFont="1" applyFill="1" applyBorder="1" applyAlignment="1">
      <alignment horizontal="center"/>
    </xf>
    <xf numFmtId="164" fontId="37" fillId="3" borderId="10" xfId="0" applyNumberFormat="1" applyFont="1" applyFill="1" applyBorder="1" applyAlignment="1">
      <alignment horizontal="center"/>
    </xf>
    <xf numFmtId="164" fontId="37" fillId="3" borderId="11" xfId="0" applyNumberFormat="1" applyFont="1" applyFill="1" applyBorder="1" applyAlignment="1">
      <alignment horizontal="center"/>
    </xf>
    <xf numFmtId="164" fontId="37" fillId="3" borderId="12" xfId="0" applyNumberFormat="1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164" fontId="37" fillId="3" borderId="4" xfId="0" applyNumberFormat="1" applyFont="1" applyFill="1" applyBorder="1" applyAlignment="1">
      <alignment horizontal="center"/>
    </xf>
    <xf numFmtId="164" fontId="37" fillId="3" borderId="1" xfId="0" applyNumberFormat="1" applyFont="1" applyFill="1" applyBorder="1" applyAlignment="1">
      <alignment horizontal="center"/>
    </xf>
    <xf numFmtId="164" fontId="37" fillId="3" borderId="13" xfId="0" applyNumberFormat="1" applyFont="1" applyFill="1" applyBorder="1" applyAlignment="1">
      <alignment horizontal="center"/>
    </xf>
    <xf numFmtId="0" fontId="3" fillId="3" borderId="0" xfId="0" applyFont="1" applyFill="1" applyBorder="1"/>
    <xf numFmtId="0" fontId="10" fillId="3" borderId="0" xfId="1" applyFill="1" applyAlignment="1" applyProtection="1"/>
    <xf numFmtId="0" fontId="3" fillId="3" borderId="14" xfId="0" applyFont="1" applyFill="1" applyBorder="1"/>
    <xf numFmtId="0" fontId="3" fillId="3" borderId="15" xfId="0" applyFont="1" applyFill="1" applyBorder="1"/>
    <xf numFmtId="0" fontId="3" fillId="3" borderId="16" xfId="0" applyFont="1" applyFill="1" applyBorder="1"/>
    <xf numFmtId="0" fontId="3" fillId="3" borderId="17" xfId="0" applyFont="1" applyFill="1" applyBorder="1"/>
    <xf numFmtId="2" fontId="37" fillId="3" borderId="9" xfId="0" applyNumberFormat="1" applyFont="1" applyFill="1" applyBorder="1" applyAlignment="1">
      <alignment horizontal="center"/>
    </xf>
    <xf numFmtId="1" fontId="37" fillId="3" borderId="18" xfId="0" applyNumberFormat="1" applyFont="1" applyFill="1" applyBorder="1" applyAlignment="1">
      <alignment horizontal="center"/>
    </xf>
    <xf numFmtId="1" fontId="42" fillId="3" borderId="19" xfId="0" applyNumberFormat="1" applyFont="1" applyFill="1" applyBorder="1" applyAlignment="1">
      <alignment horizontal="center"/>
    </xf>
    <xf numFmtId="0" fontId="29" fillId="3" borderId="20" xfId="0" applyFont="1" applyFill="1" applyBorder="1" applyAlignment="1">
      <alignment horizontal="center"/>
    </xf>
    <xf numFmtId="1" fontId="42" fillId="3" borderId="21" xfId="0" applyNumberFormat="1" applyFont="1" applyFill="1" applyBorder="1" applyAlignment="1">
      <alignment horizontal="center"/>
    </xf>
    <xf numFmtId="0" fontId="29" fillId="3" borderId="22" xfId="0" applyFont="1" applyFill="1" applyBorder="1" applyAlignment="1">
      <alignment horizontal="center"/>
    </xf>
    <xf numFmtId="2" fontId="37" fillId="3" borderId="5" xfId="0" applyNumberFormat="1" applyFont="1" applyFill="1" applyBorder="1" applyAlignment="1">
      <alignment horizontal="center"/>
    </xf>
    <xf numFmtId="1" fontId="37" fillId="3" borderId="23" xfId="0" applyNumberFormat="1" applyFont="1" applyFill="1" applyBorder="1" applyAlignment="1">
      <alignment horizontal="center"/>
    </xf>
    <xf numFmtId="1" fontId="42" fillId="3" borderId="24" xfId="0" applyNumberFormat="1" applyFont="1" applyFill="1" applyBorder="1" applyAlignment="1">
      <alignment horizontal="center"/>
    </xf>
    <xf numFmtId="0" fontId="29" fillId="3" borderId="7" xfId="0" applyFont="1" applyFill="1" applyBorder="1" applyAlignment="1">
      <alignment horizontal="center"/>
    </xf>
    <xf numFmtId="0" fontId="12" fillId="3" borderId="0" xfId="0" applyFont="1" applyFill="1" applyAlignment="1">
      <alignment horizontal="left"/>
    </xf>
    <xf numFmtId="0" fontId="12" fillId="3" borderId="0" xfId="0" applyFont="1" applyFill="1"/>
    <xf numFmtId="0" fontId="11" fillId="3" borderId="0" xfId="0" applyFont="1" applyFill="1"/>
    <xf numFmtId="0" fontId="20" fillId="3" borderId="0" xfId="0" applyFont="1" applyFill="1" applyBorder="1"/>
    <xf numFmtId="2" fontId="3" fillId="3" borderId="0" xfId="0" applyNumberFormat="1" applyFont="1" applyFill="1" applyAlignment="1">
      <alignment horizontal="center"/>
    </xf>
    <xf numFmtId="2" fontId="3" fillId="3" borderId="0" xfId="0" applyNumberFormat="1" applyFont="1" applyFill="1" applyAlignment="1">
      <alignment horizontal="left"/>
    </xf>
    <xf numFmtId="2" fontId="3" fillId="3" borderId="0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7" fillId="3" borderId="9" xfId="0" applyFont="1" applyFill="1" applyBorder="1" applyAlignment="1">
      <alignment horizontal="center"/>
    </xf>
    <xf numFmtId="1" fontId="42" fillId="3" borderId="25" xfId="0" applyNumberFormat="1" applyFont="1" applyFill="1" applyBorder="1" applyAlignment="1">
      <alignment horizontal="center"/>
    </xf>
    <xf numFmtId="1" fontId="42" fillId="3" borderId="26" xfId="0" applyNumberFormat="1" applyFont="1" applyFill="1" applyBorder="1" applyAlignment="1">
      <alignment horizontal="center"/>
    </xf>
    <xf numFmtId="0" fontId="37" fillId="3" borderId="5" xfId="0" applyFont="1" applyFill="1" applyBorder="1" applyAlignment="1">
      <alignment horizontal="center"/>
    </xf>
    <xf numFmtId="0" fontId="29" fillId="3" borderId="27" xfId="0" applyFont="1" applyFill="1" applyBorder="1" applyAlignment="1">
      <alignment horizontal="center"/>
    </xf>
    <xf numFmtId="1" fontId="37" fillId="3" borderId="18" xfId="0" applyNumberFormat="1" applyFont="1" applyFill="1" applyBorder="1" applyAlignment="1">
      <alignment horizontal="right"/>
    </xf>
    <xf numFmtId="1" fontId="37" fillId="3" borderId="23" xfId="0" applyNumberFormat="1" applyFont="1" applyFill="1" applyBorder="1" applyAlignment="1">
      <alignment horizontal="right"/>
    </xf>
    <xf numFmtId="0" fontId="2" fillId="3" borderId="0" xfId="0" applyFont="1" applyFill="1"/>
    <xf numFmtId="0" fontId="3" fillId="3" borderId="28" xfId="0" applyFont="1" applyFill="1" applyBorder="1"/>
    <xf numFmtId="0" fontId="3" fillId="3" borderId="29" xfId="0" applyFont="1" applyFill="1" applyBorder="1"/>
    <xf numFmtId="2" fontId="37" fillId="3" borderId="0" xfId="0" applyNumberFormat="1" applyFont="1" applyFill="1" applyAlignment="1">
      <alignment horizontal="center"/>
    </xf>
    <xf numFmtId="2" fontId="29" fillId="3" borderId="30" xfId="0" applyNumberFormat="1" applyFont="1" applyFill="1" applyBorder="1" applyAlignment="1">
      <alignment horizontal="center"/>
    </xf>
    <xf numFmtId="2" fontId="37" fillId="3" borderId="12" xfId="0" applyNumberFormat="1" applyFont="1" applyFill="1" applyBorder="1" applyAlignment="1">
      <alignment horizontal="center"/>
    </xf>
    <xf numFmtId="2" fontId="29" fillId="3" borderId="7" xfId="0" applyNumberFormat="1" applyFont="1" applyFill="1" applyBorder="1" applyAlignment="1">
      <alignment horizontal="center"/>
    </xf>
    <xf numFmtId="0" fontId="12" fillId="3" borderId="0" xfId="0" applyFont="1" applyFill="1" applyAlignment="1">
      <alignment horizontal="center"/>
    </xf>
    <xf numFmtId="164" fontId="20" fillId="3" borderId="0" xfId="0" applyNumberFormat="1" applyFont="1" applyFill="1" applyBorder="1" applyAlignment="1">
      <alignment horizontal="center"/>
    </xf>
    <xf numFmtId="0" fontId="27" fillId="3" borderId="0" xfId="0" applyFont="1" applyFill="1" applyAlignment="1">
      <alignment horizontal="center"/>
    </xf>
    <xf numFmtId="0" fontId="11" fillId="3" borderId="0" xfId="0" applyFont="1" applyFill="1" applyAlignment="1">
      <alignment horizontal="center"/>
    </xf>
    <xf numFmtId="0" fontId="29" fillId="3" borderId="0" xfId="0" applyFont="1" applyFill="1" applyAlignment="1">
      <alignment horizontal="center"/>
    </xf>
    <xf numFmtId="165" fontId="37" fillId="3" borderId="0" xfId="0" applyNumberFormat="1" applyFont="1" applyFill="1" applyAlignment="1">
      <alignment horizontal="center"/>
    </xf>
    <xf numFmtId="0" fontId="33" fillId="3" borderId="0" xfId="0" applyFont="1" applyFill="1" applyAlignment="1">
      <alignment horizontal="center"/>
    </xf>
    <xf numFmtId="164" fontId="0" fillId="3" borderId="0" xfId="0" applyNumberFormat="1" applyFill="1"/>
    <xf numFmtId="2" fontId="0" fillId="3" borderId="0" xfId="0" applyNumberFormat="1" applyFill="1"/>
    <xf numFmtId="0" fontId="27" fillId="3" borderId="0" xfId="0" applyFont="1" applyFill="1"/>
    <xf numFmtId="0" fontId="33" fillId="3" borderId="0" xfId="0" applyFont="1" applyFill="1"/>
    <xf numFmtId="1" fontId="37" fillId="3" borderId="0" xfId="0" applyNumberFormat="1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left"/>
    </xf>
    <xf numFmtId="0" fontId="0" fillId="3" borderId="3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1" fontId="37" fillId="3" borderId="9" xfId="0" applyNumberFormat="1" applyFont="1" applyFill="1" applyBorder="1" applyAlignment="1">
      <alignment horizontal="center"/>
    </xf>
    <xf numFmtId="0" fontId="37" fillId="3" borderId="32" xfId="0" applyFont="1" applyFill="1" applyBorder="1" applyAlignment="1">
      <alignment horizontal="center"/>
    </xf>
    <xf numFmtId="1" fontId="37" fillId="3" borderId="32" xfId="0" applyNumberFormat="1" applyFont="1" applyFill="1" applyBorder="1" applyAlignment="1">
      <alignment horizontal="center"/>
    </xf>
    <xf numFmtId="2" fontId="37" fillId="3" borderId="32" xfId="0" applyNumberFormat="1" applyFont="1" applyFill="1" applyBorder="1" applyAlignment="1">
      <alignment horizontal="center"/>
    </xf>
    <xf numFmtId="1" fontId="42" fillId="3" borderId="1" xfId="0" applyNumberFormat="1" applyFont="1" applyFill="1" applyBorder="1" applyAlignment="1">
      <alignment horizontal="center"/>
    </xf>
    <xf numFmtId="0" fontId="37" fillId="3" borderId="10" xfId="0" applyFont="1" applyFill="1" applyBorder="1" applyAlignment="1">
      <alignment horizontal="center"/>
    </xf>
    <xf numFmtId="1" fontId="37" fillId="3" borderId="10" xfId="0" applyNumberFormat="1" applyFont="1" applyFill="1" applyBorder="1" applyAlignment="1">
      <alignment horizontal="center"/>
    </xf>
    <xf numFmtId="2" fontId="37" fillId="3" borderId="10" xfId="0" applyNumberFormat="1" applyFont="1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37" fillId="3" borderId="4" xfId="0" applyFont="1" applyFill="1" applyBorder="1" applyAlignment="1">
      <alignment horizontal="center"/>
    </xf>
    <xf numFmtId="1" fontId="37" fillId="3" borderId="4" xfId="0" applyNumberFormat="1" applyFont="1" applyFill="1" applyBorder="1" applyAlignment="1">
      <alignment horizontal="center"/>
    </xf>
    <xf numFmtId="2" fontId="37" fillId="3" borderId="4" xfId="0" applyNumberFormat="1" applyFont="1" applyFill="1" applyBorder="1" applyAlignment="1">
      <alignment horizontal="center"/>
    </xf>
    <xf numFmtId="1" fontId="37" fillId="3" borderId="34" xfId="0" applyNumberFormat="1" applyFont="1" applyFill="1" applyBorder="1" applyAlignment="1">
      <alignment horizontal="right"/>
    </xf>
    <xf numFmtId="1" fontId="37" fillId="3" borderId="35" xfId="0" applyNumberFormat="1" applyFont="1" applyFill="1" applyBorder="1" applyAlignment="1">
      <alignment horizontal="right"/>
    </xf>
    <xf numFmtId="1" fontId="37" fillId="3" borderId="8" xfId="0" applyNumberFormat="1" applyFont="1" applyFill="1" applyBorder="1" applyAlignment="1">
      <alignment horizontal="right"/>
    </xf>
    <xf numFmtId="0" fontId="25" fillId="3" borderId="0" xfId="0" applyFont="1" applyFill="1" applyAlignment="1">
      <alignment horizontal="center"/>
    </xf>
    <xf numFmtId="0" fontId="37" fillId="3" borderId="0" xfId="0" applyFont="1" applyFill="1" applyAlignment="1">
      <alignment horizontal="center"/>
    </xf>
    <xf numFmtId="164" fontId="37" fillId="3" borderId="0" xfId="0" applyNumberFormat="1" applyFont="1" applyFill="1" applyAlignment="1">
      <alignment horizontal="center"/>
    </xf>
    <xf numFmtId="0" fontId="25" fillId="3" borderId="0" xfId="0" applyFont="1" applyFill="1"/>
    <xf numFmtId="0" fontId="37" fillId="3" borderId="0" xfId="0" applyFont="1" applyFill="1"/>
    <xf numFmtId="0" fontId="29" fillId="3" borderId="0" xfId="0" applyFont="1" applyFill="1" applyBorder="1" applyAlignment="1">
      <alignment horizontal="center"/>
    </xf>
    <xf numFmtId="0" fontId="37" fillId="3" borderId="0" xfId="0" applyFont="1" applyFill="1" applyBorder="1" applyAlignment="1">
      <alignment horizontal="center"/>
    </xf>
    <xf numFmtId="0" fontId="27" fillId="3" borderId="0" xfId="0" applyFont="1" applyFill="1" applyBorder="1" applyAlignment="1">
      <alignment horizontal="left"/>
    </xf>
    <xf numFmtId="0" fontId="0" fillId="3" borderId="0" xfId="0" applyFill="1" applyAlignment="1">
      <alignment horizontal="left"/>
    </xf>
    <xf numFmtId="2" fontId="0" fillId="3" borderId="0" xfId="0" applyNumberFormat="1" applyFill="1" applyAlignment="1">
      <alignment horizontal="center"/>
    </xf>
    <xf numFmtId="0" fontId="29" fillId="3" borderId="0" xfId="0" applyFont="1" applyFill="1" applyAlignment="1">
      <alignment horizontal="left"/>
    </xf>
    <xf numFmtId="0" fontId="29" fillId="3" borderId="0" xfId="0" applyFont="1" applyFill="1"/>
    <xf numFmtId="0" fontId="27" fillId="3" borderId="0" xfId="0" applyFont="1" applyFill="1" applyBorder="1" applyAlignment="1">
      <alignment horizontal="center"/>
    </xf>
    <xf numFmtId="0" fontId="9" fillId="3" borderId="0" xfId="0" applyFont="1" applyFill="1"/>
    <xf numFmtId="0" fontId="25" fillId="3" borderId="0" xfId="0" applyFont="1" applyFill="1" applyAlignment="1">
      <alignment horizontal="left"/>
    </xf>
    <xf numFmtId="2" fontId="27" fillId="3" borderId="0" xfId="0" applyNumberFormat="1" applyFont="1" applyFill="1" applyAlignment="1">
      <alignment horizontal="center"/>
    </xf>
    <xf numFmtId="0" fontId="27" fillId="3" borderId="0" xfId="0" applyFont="1" applyFill="1" applyBorder="1"/>
    <xf numFmtId="2" fontId="11" fillId="3" borderId="0" xfId="0" applyNumberFormat="1" applyFont="1" applyFill="1" applyAlignment="1">
      <alignment horizontal="center"/>
    </xf>
    <xf numFmtId="2" fontId="29" fillId="3" borderId="0" xfId="0" applyNumberFormat="1" applyFont="1" applyFill="1" applyAlignment="1">
      <alignment horizontal="center"/>
    </xf>
    <xf numFmtId="0" fontId="27" fillId="3" borderId="0" xfId="0" applyFont="1" applyFill="1" applyAlignment="1">
      <alignment horizontal="left"/>
    </xf>
    <xf numFmtId="2" fontId="11" fillId="3" borderId="0" xfId="0" applyNumberFormat="1" applyFont="1" applyFill="1"/>
    <xf numFmtId="0" fontId="3" fillId="3" borderId="28" xfId="0" applyFont="1" applyFill="1" applyBorder="1" applyAlignment="1">
      <alignment vertical="center"/>
    </xf>
    <xf numFmtId="0" fontId="3" fillId="3" borderId="16" xfId="0" applyFont="1" applyFill="1" applyBorder="1" applyAlignment="1">
      <alignment vertical="center"/>
    </xf>
    <xf numFmtId="2" fontId="3" fillId="3" borderId="36" xfId="0" applyNumberFormat="1" applyFont="1" applyFill="1" applyBorder="1" applyAlignment="1">
      <alignment horizontal="center" vertical="center"/>
    </xf>
    <xf numFmtId="2" fontId="11" fillId="3" borderId="0" xfId="0" applyNumberFormat="1" applyFont="1" applyFill="1" applyAlignment="1">
      <alignment vertical="center"/>
    </xf>
    <xf numFmtId="0" fontId="29" fillId="2" borderId="0" xfId="0" applyFont="1" applyFill="1"/>
    <xf numFmtId="2" fontId="12" fillId="2" borderId="0" xfId="0" applyNumberFormat="1" applyFont="1" applyFill="1"/>
    <xf numFmtId="2" fontId="11" fillId="2" borderId="0" xfId="0" applyNumberFormat="1" applyFont="1" applyFill="1"/>
    <xf numFmtId="2" fontId="11" fillId="2" borderId="0" xfId="0" applyNumberFormat="1" applyFont="1" applyFill="1" applyAlignment="1">
      <alignment horizontal="center"/>
    </xf>
    <xf numFmtId="2" fontId="37" fillId="3" borderId="0" xfId="0" applyNumberFormat="1" applyFont="1" applyFill="1" applyAlignment="1">
      <alignment horizontal="left"/>
    </xf>
    <xf numFmtId="0" fontId="29" fillId="2" borderId="1" xfId="0" applyFont="1" applyFill="1" applyBorder="1"/>
    <xf numFmtId="0" fontId="0" fillId="0" borderId="0" xfId="0" applyAlignment="1"/>
    <xf numFmtId="0" fontId="9" fillId="2" borderId="0" xfId="0" applyFont="1" applyFill="1" applyAlignment="1">
      <alignment horizontal="center"/>
    </xf>
    <xf numFmtId="1" fontId="37" fillId="3" borderId="0" xfId="0" applyNumberFormat="1" applyFont="1" applyFill="1" applyAlignment="1">
      <alignment horizontal="right"/>
    </xf>
    <xf numFmtId="0" fontId="42" fillId="3" borderId="0" xfId="0" applyFont="1" applyFill="1" applyAlignment="1">
      <alignment horizontal="center"/>
    </xf>
    <xf numFmtId="0" fontId="0" fillId="3" borderId="37" xfId="0" applyFill="1" applyBorder="1" applyAlignment="1" applyProtection="1">
      <alignment horizontal="center"/>
      <protection locked="0"/>
    </xf>
    <xf numFmtId="0" fontId="0" fillId="3" borderId="10" xfId="0" applyFill="1" applyBorder="1" applyAlignment="1" applyProtection="1">
      <alignment horizontal="center"/>
      <protection locked="0"/>
    </xf>
    <xf numFmtId="0" fontId="0" fillId="3" borderId="38" xfId="0" applyFill="1" applyBorder="1" applyAlignment="1" applyProtection="1">
      <alignment horizontal="center"/>
      <protection locked="0"/>
    </xf>
    <xf numFmtId="0" fontId="0" fillId="3" borderId="12" xfId="0" applyFill="1" applyBorder="1" applyAlignment="1" applyProtection="1">
      <alignment horizontal="center"/>
      <protection locked="0"/>
    </xf>
    <xf numFmtId="0" fontId="0" fillId="3" borderId="39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40" xfId="0" applyFill="1" applyBorder="1" applyAlignment="1" applyProtection="1">
      <alignment horizontal="center"/>
      <protection locked="0"/>
    </xf>
    <xf numFmtId="0" fontId="0" fillId="3" borderId="9" xfId="0" applyFill="1" applyBorder="1" applyAlignment="1" applyProtection="1">
      <alignment horizontal="center"/>
      <protection locked="0"/>
    </xf>
    <xf numFmtId="0" fontId="0" fillId="3" borderId="41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3" fillId="3" borderId="42" xfId="0" applyFont="1" applyFill="1" applyBorder="1" applyAlignment="1" applyProtection="1">
      <alignment horizontal="center"/>
      <protection locked="0"/>
    </xf>
    <xf numFmtId="0" fontId="3" fillId="3" borderId="36" xfId="0" applyFont="1" applyFill="1" applyBorder="1" applyAlignment="1" applyProtection="1">
      <alignment horizontal="center"/>
      <protection locked="0"/>
    </xf>
    <xf numFmtId="0" fontId="33" fillId="3" borderId="26" xfId="0" applyFont="1" applyFill="1" applyBorder="1" applyAlignment="1" applyProtection="1">
      <alignment horizontal="center"/>
      <protection locked="0"/>
    </xf>
    <xf numFmtId="0" fontId="33" fillId="3" borderId="43" xfId="0" applyFont="1" applyFill="1" applyBorder="1" applyAlignment="1" applyProtection="1">
      <alignment horizontal="center"/>
      <protection locked="0"/>
    </xf>
    <xf numFmtId="0" fontId="20" fillId="3" borderId="0" xfId="0" applyFont="1" applyFill="1" applyAlignment="1" applyProtection="1">
      <alignment horizontal="center"/>
      <protection locked="0"/>
    </xf>
    <xf numFmtId="0" fontId="0" fillId="3" borderId="0" xfId="0" applyFill="1" applyAlignment="1" applyProtection="1">
      <alignment horizontal="center"/>
      <protection locked="0"/>
    </xf>
    <xf numFmtId="0" fontId="20" fillId="3" borderId="0" xfId="0" applyFont="1" applyFill="1" applyBorder="1" applyAlignment="1" applyProtection="1">
      <alignment horizontal="center"/>
      <protection locked="0"/>
    </xf>
    <xf numFmtId="0" fontId="41" fillId="3" borderId="0" xfId="0" applyFont="1" applyFill="1" applyBorder="1" applyAlignment="1" applyProtection="1">
      <alignment horizontal="center"/>
      <protection locked="0"/>
    </xf>
    <xf numFmtId="2" fontId="0" fillId="3" borderId="9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33" fillId="3" borderId="24" xfId="0" applyFont="1" applyFill="1" applyBorder="1" applyAlignment="1" applyProtection="1">
      <alignment horizontal="center"/>
      <protection locked="0"/>
    </xf>
    <xf numFmtId="164" fontId="3" fillId="3" borderId="0" xfId="0" applyNumberFormat="1" applyFont="1" applyFill="1" applyBorder="1" applyAlignment="1" applyProtection="1">
      <alignment horizontal="center"/>
      <protection locked="0"/>
    </xf>
    <xf numFmtId="1" fontId="11" fillId="3" borderId="18" xfId="0" applyNumberFormat="1" applyFont="1" applyFill="1" applyBorder="1" applyAlignment="1" applyProtection="1">
      <alignment horizontal="center"/>
      <protection locked="0"/>
    </xf>
    <xf numFmtId="1" fontId="11" fillId="3" borderId="5" xfId="0" applyNumberFormat="1" applyFont="1" applyFill="1" applyBorder="1" applyAlignment="1" applyProtection="1">
      <alignment horizontal="center"/>
      <protection locked="0"/>
    </xf>
    <xf numFmtId="0" fontId="11" fillId="3" borderId="44" xfId="0" applyFont="1" applyFill="1" applyBorder="1" applyAlignment="1" applyProtection="1">
      <alignment horizontal="left"/>
      <protection locked="0"/>
    </xf>
    <xf numFmtId="0" fontId="11" fillId="3" borderId="45" xfId="0" applyFont="1" applyFill="1" applyBorder="1" applyAlignment="1" applyProtection="1">
      <alignment horizontal="left"/>
      <protection locked="0"/>
    </xf>
    <xf numFmtId="0" fontId="11" fillId="3" borderId="43" xfId="0" applyFont="1" applyFill="1" applyBorder="1" applyAlignment="1" applyProtection="1">
      <alignment horizontal="left"/>
      <protection locked="0"/>
    </xf>
    <xf numFmtId="0" fontId="3" fillId="3" borderId="0" xfId="0" applyFont="1" applyFill="1" applyBorder="1" applyAlignment="1" applyProtection="1">
      <alignment horizontal="center"/>
      <protection locked="0"/>
    </xf>
    <xf numFmtId="1" fontId="3" fillId="3" borderId="36" xfId="0" applyNumberFormat="1" applyFont="1" applyFill="1" applyBorder="1" applyAlignment="1" applyProtection="1">
      <alignment horizontal="center"/>
      <protection locked="0"/>
    </xf>
    <xf numFmtId="0" fontId="12" fillId="3" borderId="0" xfId="0" applyFont="1" applyFill="1" applyAlignment="1" applyProtection="1">
      <alignment horizontal="center"/>
      <protection locked="0"/>
    </xf>
    <xf numFmtId="0" fontId="11" fillId="3" borderId="0" xfId="0" applyFont="1" applyFill="1" applyAlignment="1" applyProtection="1">
      <alignment horizontal="center"/>
      <protection locked="0"/>
    </xf>
    <xf numFmtId="0" fontId="33" fillId="3" borderId="0" xfId="0" applyFont="1" applyFill="1" applyAlignment="1" applyProtection="1">
      <alignment horizontal="center"/>
      <protection locked="0"/>
    </xf>
    <xf numFmtId="0" fontId="0" fillId="3" borderId="46" xfId="0" applyFill="1" applyBorder="1" applyAlignment="1" applyProtection="1">
      <alignment horizontal="center"/>
      <protection locked="0"/>
    </xf>
    <xf numFmtId="0" fontId="0" fillId="3" borderId="32" xfId="0" applyFill="1" applyBorder="1" applyAlignment="1" applyProtection="1">
      <alignment horizontal="center"/>
      <protection locked="0"/>
    </xf>
    <xf numFmtId="0" fontId="0" fillId="3" borderId="31" xfId="0" applyFill="1" applyBorder="1" applyAlignment="1" applyProtection="1">
      <alignment horizontal="center"/>
      <protection locked="0"/>
    </xf>
    <xf numFmtId="0" fontId="0" fillId="3" borderId="2" xfId="0" applyFill="1" applyBorder="1" applyAlignment="1" applyProtection="1">
      <alignment horizontal="center"/>
      <protection locked="0"/>
    </xf>
    <xf numFmtId="0" fontId="0" fillId="3" borderId="33" xfId="0" applyFill="1" applyBorder="1" applyAlignment="1" applyProtection="1">
      <alignment horizontal="center"/>
      <protection locked="0"/>
    </xf>
    <xf numFmtId="0" fontId="11" fillId="3" borderId="9" xfId="0" applyFont="1" applyFill="1" applyBorder="1" applyAlignment="1" applyProtection="1">
      <alignment horizontal="center"/>
      <protection locked="0"/>
    </xf>
    <xf numFmtId="0" fontId="11" fillId="3" borderId="32" xfId="0" applyFont="1" applyFill="1" applyBorder="1" applyAlignment="1" applyProtection="1">
      <alignment horizontal="center"/>
      <protection locked="0"/>
    </xf>
    <xf numFmtId="0" fontId="11" fillId="3" borderId="10" xfId="0" applyFont="1" applyFill="1" applyBorder="1" applyAlignment="1" applyProtection="1">
      <alignment horizontal="center"/>
      <protection locked="0"/>
    </xf>
    <xf numFmtId="0" fontId="11" fillId="3" borderId="4" xfId="0" applyFont="1" applyFill="1" applyBorder="1" applyAlignment="1" applyProtection="1">
      <alignment horizontal="center"/>
      <protection locked="0"/>
    </xf>
    <xf numFmtId="0" fontId="33" fillId="3" borderId="30" xfId="0" applyFont="1" applyFill="1" applyBorder="1" applyAlignment="1" applyProtection="1">
      <alignment horizontal="left"/>
      <protection locked="0"/>
    </xf>
    <xf numFmtId="0" fontId="33" fillId="3" borderId="47" xfId="0" applyFont="1" applyFill="1" applyBorder="1" applyAlignment="1" applyProtection="1">
      <alignment horizontal="left"/>
      <protection locked="0"/>
    </xf>
    <xf numFmtId="0" fontId="33" fillId="3" borderId="48" xfId="0" applyFont="1" applyFill="1" applyBorder="1" applyAlignment="1" applyProtection="1">
      <alignment horizontal="left"/>
      <protection locked="0"/>
    </xf>
    <xf numFmtId="0" fontId="33" fillId="3" borderId="49" xfId="0" applyFont="1" applyFill="1" applyBorder="1" applyAlignment="1" applyProtection="1">
      <alignment horizontal="left"/>
      <protection locked="0"/>
    </xf>
    <xf numFmtId="2" fontId="3" fillId="3" borderId="36" xfId="0" applyNumberFormat="1" applyFont="1" applyFill="1" applyBorder="1" applyAlignment="1" applyProtection="1">
      <alignment horizontal="center"/>
      <protection locked="0"/>
    </xf>
    <xf numFmtId="0" fontId="11" fillId="3" borderId="0" xfId="0" applyFont="1" applyFill="1" applyBorder="1" applyAlignment="1" applyProtection="1">
      <alignment horizontal="center"/>
      <protection locked="0"/>
    </xf>
    <xf numFmtId="0" fontId="3" fillId="3" borderId="17" xfId="0" applyFont="1" applyFill="1" applyBorder="1" applyAlignment="1" applyProtection="1">
      <alignment horizontal="center" vertical="center"/>
      <protection locked="0"/>
    </xf>
    <xf numFmtId="2" fontId="11" fillId="3" borderId="0" xfId="0" applyNumberFormat="1" applyFont="1" applyFill="1" applyAlignment="1" applyProtection="1">
      <alignment horizontal="center"/>
      <protection locked="0"/>
    </xf>
    <xf numFmtId="2" fontId="11" fillId="3" borderId="0" xfId="0" applyNumberFormat="1" applyFont="1" applyFill="1" applyAlignment="1" applyProtection="1">
      <alignment horizontal="right" vertical="center" textRotation="90"/>
      <protection locked="0"/>
    </xf>
    <xf numFmtId="2" fontId="11" fillId="3" borderId="0" xfId="0" applyNumberFormat="1" applyFont="1" applyFill="1" applyAlignment="1" applyProtection="1">
      <alignment horizontal="center" vertical="center" textRotation="90"/>
      <protection locked="0"/>
    </xf>
    <xf numFmtId="2" fontId="11" fillId="3" borderId="0" xfId="0" applyNumberFormat="1" applyFont="1" applyFill="1" applyAlignment="1" applyProtection="1">
      <alignment horizontal="left" vertical="center"/>
      <protection locked="0"/>
    </xf>
    <xf numFmtId="2" fontId="11" fillId="3" borderId="0" xfId="0" applyNumberFormat="1" applyFont="1" applyFill="1" applyAlignment="1" applyProtection="1">
      <alignment horizontal="center" vertical="top"/>
      <protection locked="0"/>
    </xf>
    <xf numFmtId="0" fontId="11" fillId="3" borderId="0" xfId="0" applyFont="1" applyFill="1" applyAlignment="1" applyProtection="1">
      <alignment horizontal="left"/>
      <protection locked="0"/>
    </xf>
    <xf numFmtId="1" fontId="0" fillId="3" borderId="0" xfId="0" applyNumberFormat="1" applyFill="1" applyAlignment="1" applyProtection="1">
      <alignment horizontal="center"/>
      <protection locked="0"/>
    </xf>
    <xf numFmtId="2" fontId="0" fillId="3" borderId="0" xfId="0" applyNumberFormat="1" applyFill="1" applyAlignment="1" applyProtection="1">
      <alignment horizontal="center"/>
      <protection locked="0"/>
    </xf>
    <xf numFmtId="0" fontId="0" fillId="3" borderId="0" xfId="0" applyFill="1" applyAlignment="1">
      <alignment vertical="top"/>
    </xf>
    <xf numFmtId="0" fontId="0" fillId="3" borderId="0" xfId="0" applyFill="1" applyAlignment="1" applyProtection="1">
      <alignment horizontal="center" vertical="top"/>
      <protection locked="0"/>
    </xf>
    <xf numFmtId="1" fontId="3" fillId="3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29" xfId="0" applyFont="1" applyFill="1" applyBorder="1" applyAlignment="1" applyProtection="1">
      <alignment horizontal="center" vertical="center"/>
    </xf>
    <xf numFmtId="0" fontId="3" fillId="3" borderId="14" xfId="0" applyFont="1" applyFill="1" applyBorder="1" applyAlignment="1">
      <alignment vertical="center"/>
    </xf>
    <xf numFmtId="0" fontId="3" fillId="3" borderId="42" xfId="0" applyFont="1" applyFill="1" applyBorder="1" applyAlignment="1" applyProtection="1">
      <alignment horizontal="center" vertical="center"/>
      <protection locked="0"/>
    </xf>
    <xf numFmtId="0" fontId="3" fillId="3" borderId="15" xfId="0" applyFont="1" applyFill="1" applyBorder="1" applyAlignment="1">
      <alignment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3" borderId="29" xfId="0" applyFont="1" applyFill="1" applyBorder="1" applyAlignment="1">
      <alignment vertical="center"/>
    </xf>
    <xf numFmtId="2" fontId="3" fillId="3" borderId="0" xfId="0" applyNumberFormat="1" applyFont="1" applyFill="1" applyBorder="1" applyAlignment="1" applyProtection="1">
      <alignment horizontal="center" vertical="center"/>
      <protection locked="0"/>
    </xf>
    <xf numFmtId="0" fontId="1" fillId="3" borderId="30" xfId="0" applyFont="1" applyFill="1" applyBorder="1" applyAlignment="1" applyProtection="1">
      <alignment horizontal="center"/>
      <protection locked="0"/>
    </xf>
    <xf numFmtId="0" fontId="1" fillId="3" borderId="50" xfId="0" applyFont="1" applyFill="1" applyBorder="1" applyAlignment="1" applyProtection="1">
      <alignment horizontal="center"/>
      <protection locked="0"/>
    </xf>
    <xf numFmtId="0" fontId="37" fillId="3" borderId="9" xfId="0" applyFont="1" applyFill="1" applyBorder="1" applyAlignment="1" applyProtection="1">
      <alignment horizontal="center"/>
    </xf>
    <xf numFmtId="0" fontId="37" fillId="3" borderId="5" xfId="0" applyFont="1" applyFill="1" applyBorder="1" applyAlignment="1" applyProtection="1">
      <alignment horizontal="center"/>
    </xf>
    <xf numFmtId="0" fontId="0" fillId="3" borderId="0" xfId="0" applyFill="1" applyAlignment="1">
      <alignment horizontal="right" textRotation="90"/>
    </xf>
    <xf numFmtId="2" fontId="44" fillId="3" borderId="0" xfId="0" applyNumberFormat="1" applyFont="1" applyFill="1" applyAlignment="1" applyProtection="1">
      <alignment horizontal="left" textRotation="90"/>
      <protection locked="0"/>
    </xf>
    <xf numFmtId="0" fontId="1" fillId="3" borderId="30" xfId="0" applyFont="1" applyFill="1" applyBorder="1" applyAlignment="1" applyProtection="1">
      <alignment horizontal="left"/>
      <protection locked="0"/>
    </xf>
    <xf numFmtId="1" fontId="37" fillId="3" borderId="5" xfId="0" applyNumberFormat="1" applyFont="1" applyFill="1" applyBorder="1" applyAlignment="1">
      <alignment horizontal="center"/>
    </xf>
    <xf numFmtId="0" fontId="1" fillId="3" borderId="47" xfId="0" applyFont="1" applyFill="1" applyBorder="1" applyAlignment="1" applyProtection="1">
      <alignment horizontal="left"/>
      <protection locked="0"/>
    </xf>
    <xf numFmtId="0" fontId="1" fillId="3" borderId="48" xfId="0" applyFont="1" applyFill="1" applyBorder="1" applyAlignment="1" applyProtection="1">
      <alignment horizontal="left"/>
      <protection locked="0"/>
    </xf>
    <xf numFmtId="1" fontId="37" fillId="3" borderId="12" xfId="0" applyNumberFormat="1" applyFont="1" applyFill="1" applyBorder="1" applyAlignment="1">
      <alignment horizontal="center"/>
    </xf>
    <xf numFmtId="0" fontId="1" fillId="3" borderId="49" xfId="0" applyFont="1" applyFill="1" applyBorder="1" applyAlignment="1" applyProtection="1">
      <alignment horizontal="left"/>
      <protection locked="0"/>
    </xf>
    <xf numFmtId="0" fontId="28" fillId="2" borderId="51" xfId="0" applyFont="1" applyFill="1" applyBorder="1" applyAlignment="1">
      <alignment horizontal="center"/>
    </xf>
    <xf numFmtId="0" fontId="45" fillId="3" borderId="0" xfId="0" applyFont="1" applyFill="1" applyAlignment="1">
      <alignment horizontal="center"/>
    </xf>
    <xf numFmtId="0" fontId="47" fillId="3" borderId="0" xfId="0" applyFont="1" applyFill="1" applyAlignment="1">
      <alignment horizontal="center"/>
    </xf>
    <xf numFmtId="0" fontId="46" fillId="3" borderId="0" xfId="0" applyFont="1" applyFill="1" applyAlignment="1" applyProtection="1">
      <alignment horizontal="center"/>
      <protection locked="0"/>
    </xf>
    <xf numFmtId="2" fontId="45" fillId="3" borderId="0" xfId="0" applyNumberFormat="1" applyFont="1" applyFill="1" applyAlignment="1">
      <alignment horizontal="center"/>
    </xf>
    <xf numFmtId="0" fontId="48" fillId="3" borderId="0" xfId="0" applyFont="1" applyFill="1" applyAlignment="1">
      <alignment horizontal="left"/>
    </xf>
    <xf numFmtId="1" fontId="45" fillId="3" borderId="0" xfId="0" applyNumberFormat="1" applyFont="1" applyFill="1" applyAlignment="1">
      <alignment horizontal="center"/>
    </xf>
    <xf numFmtId="0" fontId="48" fillId="2" borderId="1" xfId="0" applyFont="1" applyFill="1" applyBorder="1" applyAlignment="1">
      <alignment horizontal="center"/>
    </xf>
    <xf numFmtId="0" fontId="48" fillId="2" borderId="52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9" fillId="3" borderId="0" xfId="0" applyFont="1" applyFill="1" applyAlignment="1">
      <alignment horizontal="center"/>
    </xf>
    <xf numFmtId="0" fontId="16" fillId="4" borderId="0" xfId="0" applyFont="1" applyFill="1" applyAlignment="1">
      <alignment horizontal="center"/>
    </xf>
    <xf numFmtId="0" fontId="23" fillId="3" borderId="0" xfId="0" applyFont="1" applyFill="1" applyAlignment="1">
      <alignment horizontal="center"/>
    </xf>
    <xf numFmtId="0" fontId="35" fillId="3" borderId="0" xfId="0" applyFont="1" applyFill="1" applyAlignment="1">
      <alignment horizontal="center"/>
    </xf>
    <xf numFmtId="164" fontId="37" fillId="3" borderId="12" xfId="0" applyNumberFormat="1" applyFont="1" applyFill="1" applyBorder="1" applyAlignment="1">
      <alignment horizontal="center"/>
    </xf>
    <xf numFmtId="164" fontId="37" fillId="3" borderId="27" xfId="0" applyNumberFormat="1" applyFont="1" applyFill="1" applyBorder="1" applyAlignment="1">
      <alignment horizontal="center"/>
    </xf>
    <xf numFmtId="164" fontId="37" fillId="3" borderId="5" xfId="0" applyNumberFormat="1" applyFont="1" applyFill="1" applyBorder="1" applyAlignment="1">
      <alignment horizontal="center"/>
    </xf>
    <xf numFmtId="164" fontId="37" fillId="3" borderId="7" xfId="0" applyNumberFormat="1" applyFont="1" applyFill="1" applyBorder="1" applyAlignment="1">
      <alignment horizontal="center"/>
    </xf>
    <xf numFmtId="0" fontId="28" fillId="2" borderId="35" xfId="0" applyFont="1" applyFill="1" applyBorder="1" applyAlignment="1">
      <alignment horizontal="center"/>
    </xf>
    <xf numFmtId="0" fontId="27" fillId="2" borderId="25" xfId="0" applyFont="1" applyFill="1" applyBorder="1" applyAlignment="1">
      <alignment horizontal="center"/>
    </xf>
    <xf numFmtId="0" fontId="27" fillId="2" borderId="48" xfId="0" applyFont="1" applyFill="1" applyBorder="1" applyAlignment="1">
      <alignment horizontal="center"/>
    </xf>
    <xf numFmtId="0" fontId="28" fillId="2" borderId="23" xfId="0" applyFont="1" applyFill="1" applyBorder="1" applyAlignment="1">
      <alignment horizontal="center"/>
    </xf>
    <xf numFmtId="0" fontId="27" fillId="2" borderId="43" xfId="0" applyFont="1" applyFill="1" applyBorder="1" applyAlignment="1">
      <alignment horizontal="center"/>
    </xf>
    <xf numFmtId="0" fontId="27" fillId="2" borderId="50" xfId="0" applyFont="1" applyFill="1" applyBorder="1" applyAlignment="1">
      <alignment horizontal="center"/>
    </xf>
    <xf numFmtId="164" fontId="37" fillId="3" borderId="10" xfId="0" applyNumberFormat="1" applyFont="1" applyFill="1" applyBorder="1" applyAlignment="1">
      <alignment horizontal="center"/>
    </xf>
    <xf numFmtId="164" fontId="37" fillId="3" borderId="53" xfId="0" applyNumberFormat="1" applyFont="1" applyFill="1" applyBorder="1" applyAlignment="1">
      <alignment horizontal="center"/>
    </xf>
    <xf numFmtId="164" fontId="37" fillId="3" borderId="6" xfId="0" applyNumberFormat="1" applyFont="1" applyFill="1" applyBorder="1" applyAlignment="1">
      <alignment horizontal="center"/>
    </xf>
    <xf numFmtId="164" fontId="37" fillId="3" borderId="22" xfId="0" applyNumberFormat="1" applyFont="1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0" fillId="2" borderId="54" xfId="0" applyFill="1" applyBorder="1" applyAlignment="1">
      <alignment horizontal="center"/>
    </xf>
    <xf numFmtId="0" fontId="24" fillId="2" borderId="3" xfId="0" applyFont="1" applyFill="1" applyBorder="1" applyAlignment="1">
      <alignment horizontal="center"/>
    </xf>
    <xf numFmtId="0" fontId="25" fillId="2" borderId="54" xfId="0" applyFont="1" applyFill="1" applyBorder="1" applyAlignment="1">
      <alignment horizontal="center"/>
    </xf>
    <xf numFmtId="0" fontId="24" fillId="2" borderId="35" xfId="0" applyFont="1" applyFill="1" applyBorder="1" applyAlignment="1">
      <alignment horizontal="center"/>
    </xf>
    <xf numFmtId="0" fontId="25" fillId="2" borderId="48" xfId="0" applyFont="1" applyFill="1" applyBorder="1" applyAlignment="1">
      <alignment horizontal="center"/>
    </xf>
    <xf numFmtId="0" fontId="6" fillId="2" borderId="55" xfId="0" applyFont="1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36" fillId="5" borderId="0" xfId="0" applyFont="1" applyFill="1" applyAlignment="1" applyProtection="1">
      <alignment horizontal="center"/>
      <protection locked="0"/>
    </xf>
    <xf numFmtId="0" fontId="25" fillId="2" borderId="57" xfId="0" applyFont="1" applyFill="1" applyBorder="1" applyAlignment="1">
      <alignment horizontal="center"/>
    </xf>
    <xf numFmtId="0" fontId="28" fillId="2" borderId="8" xfId="0" applyFont="1" applyFill="1" applyBorder="1" applyAlignment="1">
      <alignment horizontal="center"/>
    </xf>
    <xf numFmtId="0" fontId="28" fillId="2" borderId="58" xfId="0" applyFont="1" applyFill="1" applyBorder="1" applyAlignment="1">
      <alignment horizontal="center"/>
    </xf>
    <xf numFmtId="0" fontId="0" fillId="2" borderId="49" xfId="0" applyFill="1" applyBorder="1" applyAlignment="1">
      <alignment horizontal="center"/>
    </xf>
    <xf numFmtId="164" fontId="37" fillId="3" borderId="32" xfId="0" applyNumberFormat="1" applyFont="1" applyFill="1" applyBorder="1" applyAlignment="1">
      <alignment horizontal="center"/>
    </xf>
    <xf numFmtId="164" fontId="37" fillId="3" borderId="20" xfId="0" applyNumberFormat="1" applyFont="1" applyFill="1" applyBorder="1" applyAlignment="1">
      <alignment horizontal="center"/>
    </xf>
    <xf numFmtId="0" fontId="24" fillId="2" borderId="2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4" fillId="2" borderId="59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4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8" xfId="0" applyFill="1" applyBorder="1" applyAlignment="1">
      <alignment horizontal="center" vertical="center"/>
    </xf>
    <xf numFmtId="0" fontId="28" fillId="2" borderId="2" xfId="0" applyFont="1" applyFill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0" fillId="2" borderId="57" xfId="0" applyFill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5" fillId="2" borderId="51" xfId="0" applyFont="1" applyFill="1" applyBorder="1" applyAlignment="1">
      <alignment horizontal="center"/>
    </xf>
    <xf numFmtId="0" fontId="0" fillId="2" borderId="0" xfId="0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1112520</xdr:colOff>
      <xdr:row>17</xdr:row>
      <xdr:rowOff>0</xdr:rowOff>
    </xdr:from>
    <xdr:to>
      <xdr:col>11</xdr:col>
      <xdr:colOff>274320</xdr:colOff>
      <xdr:row>17</xdr:row>
      <xdr:rowOff>0</xdr:rowOff>
    </xdr:to>
    <xdr:sp macro="" textlink="">
      <xdr:nvSpPr>
        <xdr:cNvPr id="5650" name="Line 1"/>
        <xdr:cNvSpPr>
          <a:spLocks noChangeShapeType="1"/>
        </xdr:cNvSpPr>
      </xdr:nvSpPr>
      <xdr:spPr bwMode="auto">
        <a:xfrm>
          <a:off x="1402080" y="3543300"/>
          <a:ext cx="405384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1112520</xdr:colOff>
      <xdr:row>16</xdr:row>
      <xdr:rowOff>182880</xdr:rowOff>
    </xdr:from>
    <xdr:to>
      <xdr:col>2</xdr:col>
      <xdr:colOff>91440</xdr:colOff>
      <xdr:row>17</xdr:row>
      <xdr:rowOff>114300</xdr:rowOff>
    </xdr:to>
    <xdr:sp macro="" textlink="">
      <xdr:nvSpPr>
        <xdr:cNvPr id="5651" name="Line 2"/>
        <xdr:cNvSpPr>
          <a:spLocks noChangeShapeType="1"/>
        </xdr:cNvSpPr>
      </xdr:nvSpPr>
      <xdr:spPr bwMode="auto">
        <a:xfrm>
          <a:off x="1402080" y="3535680"/>
          <a:ext cx="91440" cy="12192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1021080</xdr:colOff>
      <xdr:row>17</xdr:row>
      <xdr:rowOff>0</xdr:rowOff>
    </xdr:from>
    <xdr:to>
      <xdr:col>1</xdr:col>
      <xdr:colOff>1089660</xdr:colOff>
      <xdr:row>17</xdr:row>
      <xdr:rowOff>114300</xdr:rowOff>
    </xdr:to>
    <xdr:sp macro="" textlink="">
      <xdr:nvSpPr>
        <xdr:cNvPr id="5652" name="Line 3"/>
        <xdr:cNvSpPr>
          <a:spLocks noChangeShapeType="1"/>
        </xdr:cNvSpPr>
      </xdr:nvSpPr>
      <xdr:spPr bwMode="auto">
        <a:xfrm flipH="1">
          <a:off x="1333500" y="3543300"/>
          <a:ext cx="68580" cy="1143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1028700</xdr:colOff>
      <xdr:row>17</xdr:row>
      <xdr:rowOff>114300</xdr:rowOff>
    </xdr:from>
    <xdr:to>
      <xdr:col>2</xdr:col>
      <xdr:colOff>91440</xdr:colOff>
      <xdr:row>17</xdr:row>
      <xdr:rowOff>114300</xdr:rowOff>
    </xdr:to>
    <xdr:sp macro="" textlink="">
      <xdr:nvSpPr>
        <xdr:cNvPr id="5653" name="Line 4"/>
        <xdr:cNvSpPr>
          <a:spLocks noChangeShapeType="1"/>
        </xdr:cNvSpPr>
      </xdr:nvSpPr>
      <xdr:spPr bwMode="auto">
        <a:xfrm>
          <a:off x="1341120" y="3657600"/>
          <a:ext cx="15240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129540</xdr:colOff>
      <xdr:row>17</xdr:row>
      <xdr:rowOff>7620</xdr:rowOff>
    </xdr:from>
    <xdr:to>
      <xdr:col>5</xdr:col>
      <xdr:colOff>236220</xdr:colOff>
      <xdr:row>17</xdr:row>
      <xdr:rowOff>129540</xdr:rowOff>
    </xdr:to>
    <xdr:sp macro="" textlink="">
      <xdr:nvSpPr>
        <xdr:cNvPr id="5654" name="Line 5"/>
        <xdr:cNvSpPr>
          <a:spLocks noChangeShapeType="1"/>
        </xdr:cNvSpPr>
      </xdr:nvSpPr>
      <xdr:spPr bwMode="auto">
        <a:xfrm>
          <a:off x="3017520" y="3550920"/>
          <a:ext cx="106680" cy="12192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38100</xdr:colOff>
      <xdr:row>17</xdr:row>
      <xdr:rowOff>22860</xdr:rowOff>
    </xdr:from>
    <xdr:to>
      <xdr:col>5</xdr:col>
      <xdr:colOff>121920</xdr:colOff>
      <xdr:row>17</xdr:row>
      <xdr:rowOff>137160</xdr:rowOff>
    </xdr:to>
    <xdr:sp macro="" textlink="">
      <xdr:nvSpPr>
        <xdr:cNvPr id="5655" name="Line 6"/>
        <xdr:cNvSpPr>
          <a:spLocks noChangeShapeType="1"/>
        </xdr:cNvSpPr>
      </xdr:nvSpPr>
      <xdr:spPr bwMode="auto">
        <a:xfrm flipH="1">
          <a:off x="2926080" y="3566160"/>
          <a:ext cx="83820" cy="1143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45720</xdr:colOff>
      <xdr:row>17</xdr:row>
      <xdr:rowOff>129540</xdr:rowOff>
    </xdr:from>
    <xdr:to>
      <xdr:col>5</xdr:col>
      <xdr:colOff>228600</xdr:colOff>
      <xdr:row>17</xdr:row>
      <xdr:rowOff>129540</xdr:rowOff>
    </xdr:to>
    <xdr:sp macro="" textlink="">
      <xdr:nvSpPr>
        <xdr:cNvPr id="5656" name="Line 7"/>
        <xdr:cNvSpPr>
          <a:spLocks noChangeShapeType="1"/>
        </xdr:cNvSpPr>
      </xdr:nvSpPr>
      <xdr:spPr bwMode="auto">
        <a:xfrm>
          <a:off x="2933700" y="3672840"/>
          <a:ext cx="18288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38100</xdr:colOff>
      <xdr:row>17</xdr:row>
      <xdr:rowOff>0</xdr:rowOff>
    </xdr:from>
    <xdr:to>
      <xdr:col>9</xdr:col>
      <xdr:colOff>144780</xdr:colOff>
      <xdr:row>17</xdr:row>
      <xdr:rowOff>121920</xdr:rowOff>
    </xdr:to>
    <xdr:sp macro="" textlink="">
      <xdr:nvSpPr>
        <xdr:cNvPr id="5657" name="Line 8"/>
        <xdr:cNvSpPr>
          <a:spLocks noChangeShapeType="1"/>
        </xdr:cNvSpPr>
      </xdr:nvSpPr>
      <xdr:spPr bwMode="auto">
        <a:xfrm>
          <a:off x="4556760" y="3543300"/>
          <a:ext cx="106680" cy="12192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335280</xdr:colOff>
      <xdr:row>17</xdr:row>
      <xdr:rowOff>7620</xdr:rowOff>
    </xdr:from>
    <xdr:to>
      <xdr:col>9</xdr:col>
      <xdr:colOff>38100</xdr:colOff>
      <xdr:row>17</xdr:row>
      <xdr:rowOff>121920</xdr:rowOff>
    </xdr:to>
    <xdr:sp macro="" textlink="">
      <xdr:nvSpPr>
        <xdr:cNvPr id="5658" name="Line 9"/>
        <xdr:cNvSpPr>
          <a:spLocks noChangeShapeType="1"/>
        </xdr:cNvSpPr>
      </xdr:nvSpPr>
      <xdr:spPr bwMode="auto">
        <a:xfrm flipH="1">
          <a:off x="4472940" y="3550920"/>
          <a:ext cx="83820" cy="1143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17</xdr:row>
      <xdr:rowOff>121920</xdr:rowOff>
    </xdr:from>
    <xdr:to>
      <xdr:col>9</xdr:col>
      <xdr:colOff>144780</xdr:colOff>
      <xdr:row>17</xdr:row>
      <xdr:rowOff>121920</xdr:rowOff>
    </xdr:to>
    <xdr:sp macro="" textlink="">
      <xdr:nvSpPr>
        <xdr:cNvPr id="5659" name="Line 10"/>
        <xdr:cNvSpPr>
          <a:spLocks noChangeShapeType="1"/>
        </xdr:cNvSpPr>
      </xdr:nvSpPr>
      <xdr:spPr bwMode="auto">
        <a:xfrm>
          <a:off x="4480560" y="3665220"/>
          <a:ext cx="18288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213360</xdr:colOff>
      <xdr:row>16</xdr:row>
      <xdr:rowOff>152400</xdr:rowOff>
    </xdr:from>
    <xdr:to>
      <xdr:col>3</xdr:col>
      <xdr:colOff>213360</xdr:colOff>
      <xdr:row>17</xdr:row>
      <xdr:rowOff>30480</xdr:rowOff>
    </xdr:to>
    <xdr:sp macro="" textlink="">
      <xdr:nvSpPr>
        <xdr:cNvPr id="5660" name="Line 11"/>
        <xdr:cNvSpPr>
          <a:spLocks noChangeShapeType="1"/>
        </xdr:cNvSpPr>
      </xdr:nvSpPr>
      <xdr:spPr bwMode="auto">
        <a:xfrm>
          <a:off x="2141220" y="3505200"/>
          <a:ext cx="0" cy="6858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213360</xdr:colOff>
      <xdr:row>16</xdr:row>
      <xdr:rowOff>152400</xdr:rowOff>
    </xdr:from>
    <xdr:to>
      <xdr:col>3</xdr:col>
      <xdr:colOff>213360</xdr:colOff>
      <xdr:row>17</xdr:row>
      <xdr:rowOff>30480</xdr:rowOff>
    </xdr:to>
    <xdr:sp macro="" textlink="">
      <xdr:nvSpPr>
        <xdr:cNvPr id="5661" name="Line 12"/>
        <xdr:cNvSpPr>
          <a:spLocks noChangeShapeType="1"/>
        </xdr:cNvSpPr>
      </xdr:nvSpPr>
      <xdr:spPr bwMode="auto">
        <a:xfrm>
          <a:off x="2141220" y="3505200"/>
          <a:ext cx="0" cy="6858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213360</xdr:colOff>
      <xdr:row>16</xdr:row>
      <xdr:rowOff>152400</xdr:rowOff>
    </xdr:from>
    <xdr:to>
      <xdr:col>3</xdr:col>
      <xdr:colOff>213360</xdr:colOff>
      <xdr:row>17</xdr:row>
      <xdr:rowOff>30480</xdr:rowOff>
    </xdr:to>
    <xdr:sp macro="" textlink="">
      <xdr:nvSpPr>
        <xdr:cNvPr id="5662" name="Line 13"/>
        <xdr:cNvSpPr>
          <a:spLocks noChangeShapeType="1"/>
        </xdr:cNvSpPr>
      </xdr:nvSpPr>
      <xdr:spPr bwMode="auto">
        <a:xfrm>
          <a:off x="2141220" y="3505200"/>
          <a:ext cx="0" cy="6858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76200</xdr:colOff>
      <xdr:row>16</xdr:row>
      <xdr:rowOff>152400</xdr:rowOff>
    </xdr:from>
    <xdr:to>
      <xdr:col>5</xdr:col>
      <xdr:colOff>76200</xdr:colOff>
      <xdr:row>17</xdr:row>
      <xdr:rowOff>30480</xdr:rowOff>
    </xdr:to>
    <xdr:sp macro="" textlink="">
      <xdr:nvSpPr>
        <xdr:cNvPr id="5663" name="Line 14"/>
        <xdr:cNvSpPr>
          <a:spLocks noChangeShapeType="1"/>
        </xdr:cNvSpPr>
      </xdr:nvSpPr>
      <xdr:spPr bwMode="auto">
        <a:xfrm>
          <a:off x="2964180" y="3505200"/>
          <a:ext cx="0" cy="6858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213360</xdr:colOff>
      <xdr:row>16</xdr:row>
      <xdr:rowOff>152400</xdr:rowOff>
    </xdr:from>
    <xdr:to>
      <xdr:col>3</xdr:col>
      <xdr:colOff>213360</xdr:colOff>
      <xdr:row>17</xdr:row>
      <xdr:rowOff>30480</xdr:rowOff>
    </xdr:to>
    <xdr:sp macro="" textlink="">
      <xdr:nvSpPr>
        <xdr:cNvPr id="5664" name="Line 15"/>
        <xdr:cNvSpPr>
          <a:spLocks noChangeShapeType="1"/>
        </xdr:cNvSpPr>
      </xdr:nvSpPr>
      <xdr:spPr bwMode="auto">
        <a:xfrm>
          <a:off x="2141220" y="3505200"/>
          <a:ext cx="0" cy="6858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144780</xdr:colOff>
      <xdr:row>16</xdr:row>
      <xdr:rowOff>160020</xdr:rowOff>
    </xdr:from>
    <xdr:to>
      <xdr:col>7</xdr:col>
      <xdr:colOff>144780</xdr:colOff>
      <xdr:row>17</xdr:row>
      <xdr:rowOff>38100</xdr:rowOff>
    </xdr:to>
    <xdr:sp macro="" textlink="">
      <xdr:nvSpPr>
        <xdr:cNvPr id="5665" name="Line 16"/>
        <xdr:cNvSpPr>
          <a:spLocks noChangeShapeType="1"/>
        </xdr:cNvSpPr>
      </xdr:nvSpPr>
      <xdr:spPr bwMode="auto">
        <a:xfrm>
          <a:off x="3870960" y="3512820"/>
          <a:ext cx="0" cy="6858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7620</xdr:colOff>
      <xdr:row>16</xdr:row>
      <xdr:rowOff>160020</xdr:rowOff>
    </xdr:from>
    <xdr:to>
      <xdr:col>9</xdr:col>
      <xdr:colOff>7620</xdr:colOff>
      <xdr:row>17</xdr:row>
      <xdr:rowOff>38100</xdr:rowOff>
    </xdr:to>
    <xdr:sp macro="" textlink="">
      <xdr:nvSpPr>
        <xdr:cNvPr id="5666" name="Line 17"/>
        <xdr:cNvSpPr>
          <a:spLocks noChangeShapeType="1"/>
        </xdr:cNvSpPr>
      </xdr:nvSpPr>
      <xdr:spPr bwMode="auto">
        <a:xfrm>
          <a:off x="4526280" y="3512820"/>
          <a:ext cx="0" cy="6858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7620</xdr:colOff>
      <xdr:row>16</xdr:row>
      <xdr:rowOff>160020</xdr:rowOff>
    </xdr:from>
    <xdr:to>
      <xdr:col>9</xdr:col>
      <xdr:colOff>7620</xdr:colOff>
      <xdr:row>17</xdr:row>
      <xdr:rowOff>38100</xdr:rowOff>
    </xdr:to>
    <xdr:sp macro="" textlink="">
      <xdr:nvSpPr>
        <xdr:cNvPr id="5667" name="Line 18"/>
        <xdr:cNvSpPr>
          <a:spLocks noChangeShapeType="1"/>
        </xdr:cNvSpPr>
      </xdr:nvSpPr>
      <xdr:spPr bwMode="auto">
        <a:xfrm>
          <a:off x="4526280" y="3512820"/>
          <a:ext cx="0" cy="6858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15</xdr:row>
      <xdr:rowOff>180975</xdr:rowOff>
    </xdr:from>
    <xdr:to>
      <xdr:col>3</xdr:col>
      <xdr:colOff>312481</xdr:colOff>
      <xdr:row>17</xdr:row>
      <xdr:rowOff>9525</xdr:rowOff>
    </xdr:to>
    <xdr:sp macro="" textlink="">
      <xdr:nvSpPr>
        <xdr:cNvPr id="5139" name="Text Box 19"/>
        <xdr:cNvSpPr txBox="1">
          <a:spLocks noChangeArrowheads="1"/>
        </xdr:cNvSpPr>
      </xdr:nvSpPr>
      <xdr:spPr bwMode="auto">
        <a:xfrm>
          <a:off x="1943100" y="3362325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</a:t>
          </a:r>
        </a:p>
      </xdr:txBody>
    </xdr:sp>
    <xdr:clientData/>
  </xdr:twoCellAnchor>
  <xdr:twoCellAnchor>
    <xdr:from>
      <xdr:col>4</xdr:col>
      <xdr:colOff>340995</xdr:colOff>
      <xdr:row>17</xdr:row>
      <xdr:rowOff>0</xdr:rowOff>
    </xdr:from>
    <xdr:to>
      <xdr:col>5</xdr:col>
      <xdr:colOff>133408</xdr:colOff>
      <xdr:row>18</xdr:row>
      <xdr:rowOff>19050</xdr:rowOff>
    </xdr:to>
    <xdr:sp macro="" textlink="">
      <xdr:nvSpPr>
        <xdr:cNvPr id="5140" name="Text Box 20"/>
        <xdr:cNvSpPr txBox="1">
          <a:spLocks noChangeArrowheads="1"/>
        </xdr:cNvSpPr>
      </xdr:nvSpPr>
      <xdr:spPr bwMode="auto">
        <a:xfrm>
          <a:off x="2705100" y="3562350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</a:p>
      </xdr:txBody>
    </xdr:sp>
    <xdr:clientData/>
  </xdr:twoCellAnchor>
  <xdr:twoCellAnchor>
    <xdr:from>
      <xdr:col>7</xdr:col>
      <xdr:colOff>0</xdr:colOff>
      <xdr:row>16</xdr:row>
      <xdr:rowOff>19050</xdr:rowOff>
    </xdr:from>
    <xdr:to>
      <xdr:col>7</xdr:col>
      <xdr:colOff>245806</xdr:colOff>
      <xdr:row>17</xdr:row>
      <xdr:rowOff>38100</xdr:rowOff>
    </xdr:to>
    <xdr:sp macro="" textlink="">
      <xdr:nvSpPr>
        <xdr:cNvPr id="5141" name="Text Box 21"/>
        <xdr:cNvSpPr txBox="1">
          <a:spLocks noChangeArrowheads="1"/>
        </xdr:cNvSpPr>
      </xdr:nvSpPr>
      <xdr:spPr bwMode="auto">
        <a:xfrm>
          <a:off x="3629025" y="3390900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  <xdr:twoCellAnchor>
    <xdr:from>
      <xdr:col>8</xdr:col>
      <xdr:colOff>207645</xdr:colOff>
      <xdr:row>16</xdr:row>
      <xdr:rowOff>180975</xdr:rowOff>
    </xdr:from>
    <xdr:to>
      <xdr:col>9</xdr:col>
      <xdr:colOff>66790</xdr:colOff>
      <xdr:row>18</xdr:row>
      <xdr:rowOff>9525</xdr:rowOff>
    </xdr:to>
    <xdr:sp macro="" textlink="">
      <xdr:nvSpPr>
        <xdr:cNvPr id="5142" name="Text Box 22"/>
        <xdr:cNvSpPr txBox="1">
          <a:spLocks noChangeArrowheads="1"/>
        </xdr:cNvSpPr>
      </xdr:nvSpPr>
      <xdr:spPr bwMode="auto">
        <a:xfrm>
          <a:off x="4229100" y="3552825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1</xdr:col>
      <xdr:colOff>1120140</xdr:colOff>
      <xdr:row>20</xdr:row>
      <xdr:rowOff>7620</xdr:rowOff>
    </xdr:from>
    <xdr:to>
      <xdr:col>11</xdr:col>
      <xdr:colOff>289560</xdr:colOff>
      <xdr:row>20</xdr:row>
      <xdr:rowOff>7620</xdr:rowOff>
    </xdr:to>
    <xdr:sp macro="" textlink="">
      <xdr:nvSpPr>
        <xdr:cNvPr id="5672" name="Line 23"/>
        <xdr:cNvSpPr>
          <a:spLocks noChangeShapeType="1"/>
        </xdr:cNvSpPr>
      </xdr:nvSpPr>
      <xdr:spPr bwMode="auto">
        <a:xfrm>
          <a:off x="1402080" y="4107180"/>
          <a:ext cx="405384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1120140</xdr:colOff>
      <xdr:row>20</xdr:row>
      <xdr:rowOff>0</xdr:rowOff>
    </xdr:from>
    <xdr:to>
      <xdr:col>2</xdr:col>
      <xdr:colOff>99060</xdr:colOff>
      <xdr:row>20</xdr:row>
      <xdr:rowOff>114300</xdr:rowOff>
    </xdr:to>
    <xdr:sp macro="" textlink="">
      <xdr:nvSpPr>
        <xdr:cNvPr id="5673" name="Line 24"/>
        <xdr:cNvSpPr>
          <a:spLocks noChangeShapeType="1"/>
        </xdr:cNvSpPr>
      </xdr:nvSpPr>
      <xdr:spPr bwMode="auto">
        <a:xfrm>
          <a:off x="1402080" y="4099560"/>
          <a:ext cx="99060" cy="1143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1028700</xdr:colOff>
      <xdr:row>20</xdr:row>
      <xdr:rowOff>7620</xdr:rowOff>
    </xdr:from>
    <xdr:to>
      <xdr:col>1</xdr:col>
      <xdr:colOff>1089660</xdr:colOff>
      <xdr:row>20</xdr:row>
      <xdr:rowOff>114300</xdr:rowOff>
    </xdr:to>
    <xdr:sp macro="" textlink="">
      <xdr:nvSpPr>
        <xdr:cNvPr id="5674" name="Line 25"/>
        <xdr:cNvSpPr>
          <a:spLocks noChangeShapeType="1"/>
        </xdr:cNvSpPr>
      </xdr:nvSpPr>
      <xdr:spPr bwMode="auto">
        <a:xfrm flipH="1">
          <a:off x="1341120" y="4107180"/>
          <a:ext cx="60960" cy="10668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1043940</xdr:colOff>
      <xdr:row>20</xdr:row>
      <xdr:rowOff>114300</xdr:rowOff>
    </xdr:from>
    <xdr:to>
      <xdr:col>2</xdr:col>
      <xdr:colOff>99060</xdr:colOff>
      <xdr:row>20</xdr:row>
      <xdr:rowOff>114300</xdr:rowOff>
    </xdr:to>
    <xdr:sp macro="" textlink="">
      <xdr:nvSpPr>
        <xdr:cNvPr id="5675" name="Line 26"/>
        <xdr:cNvSpPr>
          <a:spLocks noChangeShapeType="1"/>
        </xdr:cNvSpPr>
      </xdr:nvSpPr>
      <xdr:spPr bwMode="auto">
        <a:xfrm>
          <a:off x="1356360" y="4213860"/>
          <a:ext cx="14478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137160</xdr:colOff>
      <xdr:row>20</xdr:row>
      <xdr:rowOff>15240</xdr:rowOff>
    </xdr:from>
    <xdr:to>
      <xdr:col>5</xdr:col>
      <xdr:colOff>243840</xdr:colOff>
      <xdr:row>20</xdr:row>
      <xdr:rowOff>129540</xdr:rowOff>
    </xdr:to>
    <xdr:sp macro="" textlink="">
      <xdr:nvSpPr>
        <xdr:cNvPr id="5676" name="Line 27"/>
        <xdr:cNvSpPr>
          <a:spLocks noChangeShapeType="1"/>
        </xdr:cNvSpPr>
      </xdr:nvSpPr>
      <xdr:spPr bwMode="auto">
        <a:xfrm>
          <a:off x="3025140" y="4114800"/>
          <a:ext cx="106680" cy="1143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45720</xdr:colOff>
      <xdr:row>20</xdr:row>
      <xdr:rowOff>22860</xdr:rowOff>
    </xdr:from>
    <xdr:to>
      <xdr:col>5</xdr:col>
      <xdr:colOff>129540</xdr:colOff>
      <xdr:row>20</xdr:row>
      <xdr:rowOff>129540</xdr:rowOff>
    </xdr:to>
    <xdr:sp macro="" textlink="">
      <xdr:nvSpPr>
        <xdr:cNvPr id="5677" name="Line 28"/>
        <xdr:cNvSpPr>
          <a:spLocks noChangeShapeType="1"/>
        </xdr:cNvSpPr>
      </xdr:nvSpPr>
      <xdr:spPr bwMode="auto">
        <a:xfrm flipH="1">
          <a:off x="2933700" y="4122420"/>
          <a:ext cx="83820" cy="10668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60960</xdr:colOff>
      <xdr:row>20</xdr:row>
      <xdr:rowOff>129540</xdr:rowOff>
    </xdr:from>
    <xdr:to>
      <xdr:col>5</xdr:col>
      <xdr:colOff>243840</xdr:colOff>
      <xdr:row>20</xdr:row>
      <xdr:rowOff>129540</xdr:rowOff>
    </xdr:to>
    <xdr:sp macro="" textlink="">
      <xdr:nvSpPr>
        <xdr:cNvPr id="5678" name="Line 29"/>
        <xdr:cNvSpPr>
          <a:spLocks noChangeShapeType="1"/>
        </xdr:cNvSpPr>
      </xdr:nvSpPr>
      <xdr:spPr bwMode="auto">
        <a:xfrm>
          <a:off x="2948940" y="4229100"/>
          <a:ext cx="18288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45720</xdr:colOff>
      <xdr:row>20</xdr:row>
      <xdr:rowOff>7620</xdr:rowOff>
    </xdr:from>
    <xdr:to>
      <xdr:col>9</xdr:col>
      <xdr:colOff>152400</xdr:colOff>
      <xdr:row>20</xdr:row>
      <xdr:rowOff>121920</xdr:rowOff>
    </xdr:to>
    <xdr:sp macro="" textlink="">
      <xdr:nvSpPr>
        <xdr:cNvPr id="5679" name="Line 30"/>
        <xdr:cNvSpPr>
          <a:spLocks noChangeShapeType="1"/>
        </xdr:cNvSpPr>
      </xdr:nvSpPr>
      <xdr:spPr bwMode="auto">
        <a:xfrm>
          <a:off x="4564380" y="4107180"/>
          <a:ext cx="106680" cy="1143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20</xdr:row>
      <xdr:rowOff>15240</xdr:rowOff>
    </xdr:from>
    <xdr:to>
      <xdr:col>9</xdr:col>
      <xdr:colOff>45720</xdr:colOff>
      <xdr:row>20</xdr:row>
      <xdr:rowOff>121920</xdr:rowOff>
    </xdr:to>
    <xdr:sp macro="" textlink="">
      <xdr:nvSpPr>
        <xdr:cNvPr id="5680" name="Line 31"/>
        <xdr:cNvSpPr>
          <a:spLocks noChangeShapeType="1"/>
        </xdr:cNvSpPr>
      </xdr:nvSpPr>
      <xdr:spPr bwMode="auto">
        <a:xfrm flipH="1">
          <a:off x="4480560" y="4114800"/>
          <a:ext cx="83820" cy="10668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350520</xdr:colOff>
      <xdr:row>20</xdr:row>
      <xdr:rowOff>121920</xdr:rowOff>
    </xdr:from>
    <xdr:to>
      <xdr:col>9</xdr:col>
      <xdr:colOff>160020</xdr:colOff>
      <xdr:row>20</xdr:row>
      <xdr:rowOff>121920</xdr:rowOff>
    </xdr:to>
    <xdr:sp macro="" textlink="">
      <xdr:nvSpPr>
        <xdr:cNvPr id="5681" name="Line 32"/>
        <xdr:cNvSpPr>
          <a:spLocks noChangeShapeType="1"/>
        </xdr:cNvSpPr>
      </xdr:nvSpPr>
      <xdr:spPr bwMode="auto">
        <a:xfrm>
          <a:off x="4488180" y="4221480"/>
          <a:ext cx="19050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19</xdr:row>
      <xdr:rowOff>152400</xdr:rowOff>
    </xdr:from>
    <xdr:to>
      <xdr:col>3</xdr:col>
      <xdr:colOff>228600</xdr:colOff>
      <xdr:row>20</xdr:row>
      <xdr:rowOff>38100</xdr:rowOff>
    </xdr:to>
    <xdr:sp macro="" textlink="">
      <xdr:nvSpPr>
        <xdr:cNvPr id="5682" name="Line 33"/>
        <xdr:cNvSpPr>
          <a:spLocks noChangeShapeType="1"/>
        </xdr:cNvSpPr>
      </xdr:nvSpPr>
      <xdr:spPr bwMode="auto">
        <a:xfrm>
          <a:off x="2156460" y="407670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19</xdr:row>
      <xdr:rowOff>152400</xdr:rowOff>
    </xdr:from>
    <xdr:to>
      <xdr:col>3</xdr:col>
      <xdr:colOff>228600</xdr:colOff>
      <xdr:row>20</xdr:row>
      <xdr:rowOff>38100</xdr:rowOff>
    </xdr:to>
    <xdr:sp macro="" textlink="">
      <xdr:nvSpPr>
        <xdr:cNvPr id="5683" name="Line 34"/>
        <xdr:cNvSpPr>
          <a:spLocks noChangeShapeType="1"/>
        </xdr:cNvSpPr>
      </xdr:nvSpPr>
      <xdr:spPr bwMode="auto">
        <a:xfrm>
          <a:off x="2156460" y="407670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19</xdr:row>
      <xdr:rowOff>152400</xdr:rowOff>
    </xdr:from>
    <xdr:to>
      <xdr:col>3</xdr:col>
      <xdr:colOff>228600</xdr:colOff>
      <xdr:row>20</xdr:row>
      <xdr:rowOff>38100</xdr:rowOff>
    </xdr:to>
    <xdr:sp macro="" textlink="">
      <xdr:nvSpPr>
        <xdr:cNvPr id="5684" name="Line 35"/>
        <xdr:cNvSpPr>
          <a:spLocks noChangeShapeType="1"/>
        </xdr:cNvSpPr>
      </xdr:nvSpPr>
      <xdr:spPr bwMode="auto">
        <a:xfrm>
          <a:off x="2156460" y="407670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83820</xdr:colOff>
      <xdr:row>19</xdr:row>
      <xdr:rowOff>152400</xdr:rowOff>
    </xdr:from>
    <xdr:to>
      <xdr:col>5</xdr:col>
      <xdr:colOff>83820</xdr:colOff>
      <xdr:row>20</xdr:row>
      <xdr:rowOff>38100</xdr:rowOff>
    </xdr:to>
    <xdr:sp macro="" textlink="">
      <xdr:nvSpPr>
        <xdr:cNvPr id="5685" name="Line 36"/>
        <xdr:cNvSpPr>
          <a:spLocks noChangeShapeType="1"/>
        </xdr:cNvSpPr>
      </xdr:nvSpPr>
      <xdr:spPr bwMode="auto">
        <a:xfrm>
          <a:off x="2971800" y="407670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19</xdr:row>
      <xdr:rowOff>152400</xdr:rowOff>
    </xdr:from>
    <xdr:to>
      <xdr:col>3</xdr:col>
      <xdr:colOff>228600</xdr:colOff>
      <xdr:row>20</xdr:row>
      <xdr:rowOff>38100</xdr:rowOff>
    </xdr:to>
    <xdr:sp macro="" textlink="">
      <xdr:nvSpPr>
        <xdr:cNvPr id="5686" name="Line 37"/>
        <xdr:cNvSpPr>
          <a:spLocks noChangeShapeType="1"/>
        </xdr:cNvSpPr>
      </xdr:nvSpPr>
      <xdr:spPr bwMode="auto">
        <a:xfrm>
          <a:off x="2156460" y="407670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160020</xdr:colOff>
      <xdr:row>19</xdr:row>
      <xdr:rowOff>160020</xdr:rowOff>
    </xdr:from>
    <xdr:to>
      <xdr:col>7</xdr:col>
      <xdr:colOff>160020</xdr:colOff>
      <xdr:row>20</xdr:row>
      <xdr:rowOff>45720</xdr:rowOff>
    </xdr:to>
    <xdr:sp macro="" textlink="">
      <xdr:nvSpPr>
        <xdr:cNvPr id="5687" name="Line 38"/>
        <xdr:cNvSpPr>
          <a:spLocks noChangeShapeType="1"/>
        </xdr:cNvSpPr>
      </xdr:nvSpPr>
      <xdr:spPr bwMode="auto">
        <a:xfrm>
          <a:off x="3886200" y="408432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22860</xdr:colOff>
      <xdr:row>19</xdr:row>
      <xdr:rowOff>160020</xdr:rowOff>
    </xdr:from>
    <xdr:to>
      <xdr:col>9</xdr:col>
      <xdr:colOff>22860</xdr:colOff>
      <xdr:row>20</xdr:row>
      <xdr:rowOff>45720</xdr:rowOff>
    </xdr:to>
    <xdr:sp macro="" textlink="">
      <xdr:nvSpPr>
        <xdr:cNvPr id="5688" name="Line 39"/>
        <xdr:cNvSpPr>
          <a:spLocks noChangeShapeType="1"/>
        </xdr:cNvSpPr>
      </xdr:nvSpPr>
      <xdr:spPr bwMode="auto">
        <a:xfrm>
          <a:off x="4541520" y="408432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22860</xdr:colOff>
      <xdr:row>19</xdr:row>
      <xdr:rowOff>160020</xdr:rowOff>
    </xdr:from>
    <xdr:to>
      <xdr:col>9</xdr:col>
      <xdr:colOff>22860</xdr:colOff>
      <xdr:row>20</xdr:row>
      <xdr:rowOff>45720</xdr:rowOff>
    </xdr:to>
    <xdr:sp macro="" textlink="">
      <xdr:nvSpPr>
        <xdr:cNvPr id="5689" name="Line 40"/>
        <xdr:cNvSpPr>
          <a:spLocks noChangeShapeType="1"/>
        </xdr:cNvSpPr>
      </xdr:nvSpPr>
      <xdr:spPr bwMode="auto">
        <a:xfrm>
          <a:off x="4541520" y="408432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19</xdr:row>
      <xdr:rowOff>0</xdr:rowOff>
    </xdr:from>
    <xdr:to>
      <xdr:col>3</xdr:col>
      <xdr:colOff>329688</xdr:colOff>
      <xdr:row>20</xdr:row>
      <xdr:rowOff>11577</xdr:rowOff>
    </xdr:to>
    <xdr:sp macro="" textlink="">
      <xdr:nvSpPr>
        <xdr:cNvPr id="5161" name="Text Box 41"/>
        <xdr:cNvSpPr txBox="1">
          <a:spLocks noChangeArrowheads="1"/>
        </xdr:cNvSpPr>
      </xdr:nvSpPr>
      <xdr:spPr bwMode="auto">
        <a:xfrm>
          <a:off x="1952625" y="3943350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4</xdr:col>
      <xdr:colOff>350520</xdr:colOff>
      <xdr:row>20</xdr:row>
      <xdr:rowOff>9525</xdr:rowOff>
    </xdr:from>
    <xdr:to>
      <xdr:col>5</xdr:col>
      <xdr:colOff>142933</xdr:colOff>
      <xdr:row>21</xdr:row>
      <xdr:rowOff>21102</xdr:rowOff>
    </xdr:to>
    <xdr:sp macro="" textlink="">
      <xdr:nvSpPr>
        <xdr:cNvPr id="5162" name="Text Box 42"/>
        <xdr:cNvSpPr txBox="1">
          <a:spLocks noChangeArrowheads="1"/>
        </xdr:cNvSpPr>
      </xdr:nvSpPr>
      <xdr:spPr bwMode="auto">
        <a:xfrm>
          <a:off x="2714625" y="4143375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7</xdr:col>
      <xdr:colOff>9525</xdr:colOff>
      <xdr:row>19</xdr:row>
      <xdr:rowOff>20955</xdr:rowOff>
    </xdr:from>
    <xdr:to>
      <xdr:col>7</xdr:col>
      <xdr:colOff>247650</xdr:colOff>
      <xdr:row>20</xdr:row>
      <xdr:rowOff>47777</xdr:rowOff>
    </xdr:to>
    <xdr:sp macro="" textlink="">
      <xdr:nvSpPr>
        <xdr:cNvPr id="5163" name="Text Box 43"/>
        <xdr:cNvSpPr txBox="1">
          <a:spLocks noChangeArrowheads="1"/>
        </xdr:cNvSpPr>
      </xdr:nvSpPr>
      <xdr:spPr bwMode="auto">
        <a:xfrm>
          <a:off x="3638550" y="3971925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7</a:t>
          </a:r>
        </a:p>
      </xdr:txBody>
    </xdr:sp>
    <xdr:clientData/>
  </xdr:twoCellAnchor>
  <xdr:twoCellAnchor>
    <xdr:from>
      <xdr:col>8</xdr:col>
      <xdr:colOff>209550</xdr:colOff>
      <xdr:row>20</xdr:row>
      <xdr:rowOff>0</xdr:rowOff>
    </xdr:from>
    <xdr:to>
      <xdr:col>9</xdr:col>
      <xdr:colOff>76200</xdr:colOff>
      <xdr:row>21</xdr:row>
      <xdr:rowOff>11577</xdr:rowOff>
    </xdr:to>
    <xdr:sp macro="" textlink="">
      <xdr:nvSpPr>
        <xdr:cNvPr id="5164" name="Text Box 44"/>
        <xdr:cNvSpPr txBox="1">
          <a:spLocks noChangeArrowheads="1"/>
        </xdr:cNvSpPr>
      </xdr:nvSpPr>
      <xdr:spPr bwMode="auto">
        <a:xfrm>
          <a:off x="4238625" y="4133850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8</a:t>
          </a:r>
        </a:p>
      </xdr:txBody>
    </xdr:sp>
    <xdr:clientData/>
  </xdr:twoCellAnchor>
  <xdr:twoCellAnchor>
    <xdr:from>
      <xdr:col>2</xdr:col>
      <xdr:colOff>0</xdr:colOff>
      <xdr:row>23</xdr:row>
      <xdr:rowOff>7620</xdr:rowOff>
    </xdr:from>
    <xdr:to>
      <xdr:col>11</xdr:col>
      <xdr:colOff>297180</xdr:colOff>
      <xdr:row>23</xdr:row>
      <xdr:rowOff>7620</xdr:rowOff>
    </xdr:to>
    <xdr:sp macro="" textlink="">
      <xdr:nvSpPr>
        <xdr:cNvPr id="5694" name="Line 45"/>
        <xdr:cNvSpPr>
          <a:spLocks noChangeShapeType="1"/>
        </xdr:cNvSpPr>
      </xdr:nvSpPr>
      <xdr:spPr bwMode="auto">
        <a:xfrm>
          <a:off x="1402080" y="4632960"/>
          <a:ext cx="405384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106680</xdr:colOff>
      <xdr:row>23</xdr:row>
      <xdr:rowOff>114300</xdr:rowOff>
    </xdr:to>
    <xdr:sp macro="" textlink="">
      <xdr:nvSpPr>
        <xdr:cNvPr id="5695" name="Line 46"/>
        <xdr:cNvSpPr>
          <a:spLocks noChangeShapeType="1"/>
        </xdr:cNvSpPr>
      </xdr:nvSpPr>
      <xdr:spPr bwMode="auto">
        <a:xfrm>
          <a:off x="1402080" y="4625340"/>
          <a:ext cx="106680" cy="1143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1043940</xdr:colOff>
      <xdr:row>23</xdr:row>
      <xdr:rowOff>7620</xdr:rowOff>
    </xdr:from>
    <xdr:to>
      <xdr:col>2</xdr:col>
      <xdr:colOff>0</xdr:colOff>
      <xdr:row>23</xdr:row>
      <xdr:rowOff>114300</xdr:rowOff>
    </xdr:to>
    <xdr:sp macro="" textlink="">
      <xdr:nvSpPr>
        <xdr:cNvPr id="5696" name="Line 47"/>
        <xdr:cNvSpPr>
          <a:spLocks noChangeShapeType="1"/>
        </xdr:cNvSpPr>
      </xdr:nvSpPr>
      <xdr:spPr bwMode="auto">
        <a:xfrm flipH="1">
          <a:off x="1356360" y="4632960"/>
          <a:ext cx="45720" cy="10668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1051560</xdr:colOff>
      <xdr:row>23</xdr:row>
      <xdr:rowOff>114300</xdr:rowOff>
    </xdr:from>
    <xdr:to>
      <xdr:col>2</xdr:col>
      <xdr:colOff>106680</xdr:colOff>
      <xdr:row>23</xdr:row>
      <xdr:rowOff>114300</xdr:rowOff>
    </xdr:to>
    <xdr:sp macro="" textlink="">
      <xdr:nvSpPr>
        <xdr:cNvPr id="5697" name="Line 48"/>
        <xdr:cNvSpPr>
          <a:spLocks noChangeShapeType="1"/>
        </xdr:cNvSpPr>
      </xdr:nvSpPr>
      <xdr:spPr bwMode="auto">
        <a:xfrm>
          <a:off x="1363980" y="4739640"/>
          <a:ext cx="14478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144780</xdr:colOff>
      <xdr:row>23</xdr:row>
      <xdr:rowOff>15240</xdr:rowOff>
    </xdr:from>
    <xdr:to>
      <xdr:col>5</xdr:col>
      <xdr:colOff>251460</xdr:colOff>
      <xdr:row>23</xdr:row>
      <xdr:rowOff>129540</xdr:rowOff>
    </xdr:to>
    <xdr:sp macro="" textlink="">
      <xdr:nvSpPr>
        <xdr:cNvPr id="5698" name="Line 49"/>
        <xdr:cNvSpPr>
          <a:spLocks noChangeShapeType="1"/>
        </xdr:cNvSpPr>
      </xdr:nvSpPr>
      <xdr:spPr bwMode="auto">
        <a:xfrm>
          <a:off x="3032760" y="4640580"/>
          <a:ext cx="106680" cy="1143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60960</xdr:colOff>
      <xdr:row>23</xdr:row>
      <xdr:rowOff>22860</xdr:rowOff>
    </xdr:from>
    <xdr:to>
      <xdr:col>5</xdr:col>
      <xdr:colOff>144780</xdr:colOff>
      <xdr:row>23</xdr:row>
      <xdr:rowOff>129540</xdr:rowOff>
    </xdr:to>
    <xdr:sp macro="" textlink="">
      <xdr:nvSpPr>
        <xdr:cNvPr id="5699" name="Line 50"/>
        <xdr:cNvSpPr>
          <a:spLocks noChangeShapeType="1"/>
        </xdr:cNvSpPr>
      </xdr:nvSpPr>
      <xdr:spPr bwMode="auto">
        <a:xfrm flipH="1">
          <a:off x="2948940" y="4648200"/>
          <a:ext cx="83820" cy="10668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68580</xdr:colOff>
      <xdr:row>23</xdr:row>
      <xdr:rowOff>129540</xdr:rowOff>
    </xdr:from>
    <xdr:to>
      <xdr:col>5</xdr:col>
      <xdr:colOff>251460</xdr:colOff>
      <xdr:row>23</xdr:row>
      <xdr:rowOff>129540</xdr:rowOff>
    </xdr:to>
    <xdr:sp macro="" textlink="">
      <xdr:nvSpPr>
        <xdr:cNvPr id="5700" name="Line 51"/>
        <xdr:cNvSpPr>
          <a:spLocks noChangeShapeType="1"/>
        </xdr:cNvSpPr>
      </xdr:nvSpPr>
      <xdr:spPr bwMode="auto">
        <a:xfrm>
          <a:off x="2956560" y="4754880"/>
          <a:ext cx="18288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60960</xdr:colOff>
      <xdr:row>23</xdr:row>
      <xdr:rowOff>7620</xdr:rowOff>
    </xdr:from>
    <xdr:to>
      <xdr:col>9</xdr:col>
      <xdr:colOff>167640</xdr:colOff>
      <xdr:row>23</xdr:row>
      <xdr:rowOff>121920</xdr:rowOff>
    </xdr:to>
    <xdr:sp macro="" textlink="">
      <xdr:nvSpPr>
        <xdr:cNvPr id="5701" name="Line 52"/>
        <xdr:cNvSpPr>
          <a:spLocks noChangeShapeType="1"/>
        </xdr:cNvSpPr>
      </xdr:nvSpPr>
      <xdr:spPr bwMode="auto">
        <a:xfrm>
          <a:off x="4579620" y="4632960"/>
          <a:ext cx="106680" cy="1143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350520</xdr:colOff>
      <xdr:row>23</xdr:row>
      <xdr:rowOff>15240</xdr:rowOff>
    </xdr:from>
    <xdr:to>
      <xdr:col>9</xdr:col>
      <xdr:colOff>60960</xdr:colOff>
      <xdr:row>23</xdr:row>
      <xdr:rowOff>121920</xdr:rowOff>
    </xdr:to>
    <xdr:sp macro="" textlink="">
      <xdr:nvSpPr>
        <xdr:cNvPr id="5702" name="Line 53"/>
        <xdr:cNvSpPr>
          <a:spLocks noChangeShapeType="1"/>
        </xdr:cNvSpPr>
      </xdr:nvSpPr>
      <xdr:spPr bwMode="auto">
        <a:xfrm flipH="1">
          <a:off x="4488180" y="4640580"/>
          <a:ext cx="91440" cy="10668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358140</xdr:colOff>
      <xdr:row>23</xdr:row>
      <xdr:rowOff>121920</xdr:rowOff>
    </xdr:from>
    <xdr:to>
      <xdr:col>9</xdr:col>
      <xdr:colOff>167640</xdr:colOff>
      <xdr:row>23</xdr:row>
      <xdr:rowOff>121920</xdr:rowOff>
    </xdr:to>
    <xdr:sp macro="" textlink="">
      <xdr:nvSpPr>
        <xdr:cNvPr id="5703" name="Line 54"/>
        <xdr:cNvSpPr>
          <a:spLocks noChangeShapeType="1"/>
        </xdr:cNvSpPr>
      </xdr:nvSpPr>
      <xdr:spPr bwMode="auto">
        <a:xfrm>
          <a:off x="4495800" y="4747260"/>
          <a:ext cx="19050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236220</xdr:colOff>
      <xdr:row>22</xdr:row>
      <xdr:rowOff>152400</xdr:rowOff>
    </xdr:from>
    <xdr:to>
      <xdr:col>3</xdr:col>
      <xdr:colOff>236220</xdr:colOff>
      <xdr:row>23</xdr:row>
      <xdr:rowOff>38100</xdr:rowOff>
    </xdr:to>
    <xdr:sp macro="" textlink="">
      <xdr:nvSpPr>
        <xdr:cNvPr id="5704" name="Line 55"/>
        <xdr:cNvSpPr>
          <a:spLocks noChangeShapeType="1"/>
        </xdr:cNvSpPr>
      </xdr:nvSpPr>
      <xdr:spPr bwMode="auto">
        <a:xfrm>
          <a:off x="2164080" y="460248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236220</xdr:colOff>
      <xdr:row>22</xdr:row>
      <xdr:rowOff>152400</xdr:rowOff>
    </xdr:from>
    <xdr:to>
      <xdr:col>3</xdr:col>
      <xdr:colOff>236220</xdr:colOff>
      <xdr:row>23</xdr:row>
      <xdr:rowOff>38100</xdr:rowOff>
    </xdr:to>
    <xdr:sp macro="" textlink="">
      <xdr:nvSpPr>
        <xdr:cNvPr id="5705" name="Line 56"/>
        <xdr:cNvSpPr>
          <a:spLocks noChangeShapeType="1"/>
        </xdr:cNvSpPr>
      </xdr:nvSpPr>
      <xdr:spPr bwMode="auto">
        <a:xfrm>
          <a:off x="2164080" y="460248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236220</xdr:colOff>
      <xdr:row>22</xdr:row>
      <xdr:rowOff>152400</xdr:rowOff>
    </xdr:from>
    <xdr:to>
      <xdr:col>3</xdr:col>
      <xdr:colOff>236220</xdr:colOff>
      <xdr:row>23</xdr:row>
      <xdr:rowOff>38100</xdr:rowOff>
    </xdr:to>
    <xdr:sp macro="" textlink="">
      <xdr:nvSpPr>
        <xdr:cNvPr id="5706" name="Line 57"/>
        <xdr:cNvSpPr>
          <a:spLocks noChangeShapeType="1"/>
        </xdr:cNvSpPr>
      </xdr:nvSpPr>
      <xdr:spPr bwMode="auto">
        <a:xfrm>
          <a:off x="2164080" y="460248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99060</xdr:colOff>
      <xdr:row>22</xdr:row>
      <xdr:rowOff>152400</xdr:rowOff>
    </xdr:from>
    <xdr:to>
      <xdr:col>5</xdr:col>
      <xdr:colOff>99060</xdr:colOff>
      <xdr:row>23</xdr:row>
      <xdr:rowOff>38100</xdr:rowOff>
    </xdr:to>
    <xdr:sp macro="" textlink="">
      <xdr:nvSpPr>
        <xdr:cNvPr id="5707" name="Line 58"/>
        <xdr:cNvSpPr>
          <a:spLocks noChangeShapeType="1"/>
        </xdr:cNvSpPr>
      </xdr:nvSpPr>
      <xdr:spPr bwMode="auto">
        <a:xfrm>
          <a:off x="2987040" y="460248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236220</xdr:colOff>
      <xdr:row>22</xdr:row>
      <xdr:rowOff>152400</xdr:rowOff>
    </xdr:from>
    <xdr:to>
      <xdr:col>3</xdr:col>
      <xdr:colOff>236220</xdr:colOff>
      <xdr:row>23</xdr:row>
      <xdr:rowOff>38100</xdr:rowOff>
    </xdr:to>
    <xdr:sp macro="" textlink="">
      <xdr:nvSpPr>
        <xdr:cNvPr id="5708" name="Line 59"/>
        <xdr:cNvSpPr>
          <a:spLocks noChangeShapeType="1"/>
        </xdr:cNvSpPr>
      </xdr:nvSpPr>
      <xdr:spPr bwMode="auto">
        <a:xfrm>
          <a:off x="2164080" y="460248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167640</xdr:colOff>
      <xdr:row>22</xdr:row>
      <xdr:rowOff>160020</xdr:rowOff>
    </xdr:from>
    <xdr:to>
      <xdr:col>7</xdr:col>
      <xdr:colOff>167640</xdr:colOff>
      <xdr:row>23</xdr:row>
      <xdr:rowOff>45720</xdr:rowOff>
    </xdr:to>
    <xdr:sp macro="" textlink="">
      <xdr:nvSpPr>
        <xdr:cNvPr id="5709" name="Line 60"/>
        <xdr:cNvSpPr>
          <a:spLocks noChangeShapeType="1"/>
        </xdr:cNvSpPr>
      </xdr:nvSpPr>
      <xdr:spPr bwMode="auto">
        <a:xfrm>
          <a:off x="3893820" y="461010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30480</xdr:colOff>
      <xdr:row>22</xdr:row>
      <xdr:rowOff>160020</xdr:rowOff>
    </xdr:from>
    <xdr:to>
      <xdr:col>9</xdr:col>
      <xdr:colOff>30480</xdr:colOff>
      <xdr:row>23</xdr:row>
      <xdr:rowOff>45720</xdr:rowOff>
    </xdr:to>
    <xdr:sp macro="" textlink="">
      <xdr:nvSpPr>
        <xdr:cNvPr id="5710" name="Line 61"/>
        <xdr:cNvSpPr>
          <a:spLocks noChangeShapeType="1"/>
        </xdr:cNvSpPr>
      </xdr:nvSpPr>
      <xdr:spPr bwMode="auto">
        <a:xfrm>
          <a:off x="4549140" y="461010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30480</xdr:colOff>
      <xdr:row>22</xdr:row>
      <xdr:rowOff>160020</xdr:rowOff>
    </xdr:from>
    <xdr:to>
      <xdr:col>9</xdr:col>
      <xdr:colOff>30480</xdr:colOff>
      <xdr:row>23</xdr:row>
      <xdr:rowOff>45720</xdr:rowOff>
    </xdr:to>
    <xdr:sp macro="" textlink="">
      <xdr:nvSpPr>
        <xdr:cNvPr id="5711" name="Line 62"/>
        <xdr:cNvSpPr>
          <a:spLocks noChangeShapeType="1"/>
        </xdr:cNvSpPr>
      </xdr:nvSpPr>
      <xdr:spPr bwMode="auto">
        <a:xfrm>
          <a:off x="4549140" y="461010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93345</xdr:colOff>
      <xdr:row>22</xdr:row>
      <xdr:rowOff>0</xdr:rowOff>
    </xdr:from>
    <xdr:to>
      <xdr:col>3</xdr:col>
      <xdr:colOff>331470</xdr:colOff>
      <xdr:row>23</xdr:row>
      <xdr:rowOff>11577</xdr:rowOff>
    </xdr:to>
    <xdr:sp macro="" textlink="">
      <xdr:nvSpPr>
        <xdr:cNvPr id="5183" name="Text Box 63"/>
        <xdr:cNvSpPr txBox="1">
          <a:spLocks noChangeArrowheads="1"/>
        </xdr:cNvSpPr>
      </xdr:nvSpPr>
      <xdr:spPr bwMode="auto">
        <a:xfrm>
          <a:off x="1962150" y="4514850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9</a:t>
          </a:r>
        </a:p>
      </xdr:txBody>
    </xdr:sp>
    <xdr:clientData/>
  </xdr:twoCellAnchor>
  <xdr:twoCellAnchor>
    <xdr:from>
      <xdr:col>4</xdr:col>
      <xdr:colOff>360045</xdr:colOff>
      <xdr:row>23</xdr:row>
      <xdr:rowOff>9525</xdr:rowOff>
    </xdr:from>
    <xdr:to>
      <xdr:col>5</xdr:col>
      <xdr:colOff>152458</xdr:colOff>
      <xdr:row>24</xdr:row>
      <xdr:rowOff>21102</xdr:rowOff>
    </xdr:to>
    <xdr:sp macro="" textlink="">
      <xdr:nvSpPr>
        <xdr:cNvPr id="5184" name="Text Box 64"/>
        <xdr:cNvSpPr txBox="1">
          <a:spLocks noChangeArrowheads="1"/>
        </xdr:cNvSpPr>
      </xdr:nvSpPr>
      <xdr:spPr bwMode="auto">
        <a:xfrm>
          <a:off x="2724150" y="4714875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>
    <xdr:from>
      <xdr:col>7</xdr:col>
      <xdr:colOff>19050</xdr:colOff>
      <xdr:row>22</xdr:row>
      <xdr:rowOff>20955</xdr:rowOff>
    </xdr:from>
    <xdr:to>
      <xdr:col>7</xdr:col>
      <xdr:colOff>264856</xdr:colOff>
      <xdr:row>23</xdr:row>
      <xdr:rowOff>47777</xdr:rowOff>
    </xdr:to>
    <xdr:sp macro="" textlink="">
      <xdr:nvSpPr>
        <xdr:cNvPr id="5185" name="Text Box 65"/>
        <xdr:cNvSpPr txBox="1">
          <a:spLocks noChangeArrowheads="1"/>
        </xdr:cNvSpPr>
      </xdr:nvSpPr>
      <xdr:spPr bwMode="auto">
        <a:xfrm>
          <a:off x="3648075" y="4543425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11</a:t>
          </a:r>
        </a:p>
      </xdr:txBody>
    </xdr:sp>
    <xdr:clientData/>
  </xdr:twoCellAnchor>
  <xdr:twoCellAnchor>
    <xdr:from>
      <xdr:col>8</xdr:col>
      <xdr:colOff>198120</xdr:colOff>
      <xdr:row>22</xdr:row>
      <xdr:rowOff>165735</xdr:rowOff>
    </xdr:from>
    <xdr:to>
      <xdr:col>9</xdr:col>
      <xdr:colOff>57265</xdr:colOff>
      <xdr:row>24</xdr:row>
      <xdr:rowOff>9684</xdr:rowOff>
    </xdr:to>
    <xdr:sp macro="" textlink="">
      <xdr:nvSpPr>
        <xdr:cNvPr id="5186" name="Text Box 66"/>
        <xdr:cNvSpPr txBox="1">
          <a:spLocks noChangeArrowheads="1"/>
        </xdr:cNvSpPr>
      </xdr:nvSpPr>
      <xdr:spPr bwMode="auto">
        <a:xfrm>
          <a:off x="4219575" y="4695825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12</a:t>
          </a:r>
        </a:p>
      </xdr:txBody>
    </xdr:sp>
    <xdr:clientData/>
  </xdr:twoCellAnchor>
  <xdr:twoCellAnchor>
    <xdr:from>
      <xdr:col>1</xdr:col>
      <xdr:colOff>1120140</xdr:colOff>
      <xdr:row>26</xdr:row>
      <xdr:rowOff>0</xdr:rowOff>
    </xdr:from>
    <xdr:to>
      <xdr:col>11</xdr:col>
      <xdr:colOff>289560</xdr:colOff>
      <xdr:row>26</xdr:row>
      <xdr:rowOff>0</xdr:rowOff>
    </xdr:to>
    <xdr:sp macro="" textlink="">
      <xdr:nvSpPr>
        <xdr:cNvPr id="5716" name="Line 67"/>
        <xdr:cNvSpPr>
          <a:spLocks noChangeShapeType="1"/>
        </xdr:cNvSpPr>
      </xdr:nvSpPr>
      <xdr:spPr bwMode="auto">
        <a:xfrm>
          <a:off x="1402080" y="5151120"/>
          <a:ext cx="405384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1120140</xdr:colOff>
      <xdr:row>25</xdr:row>
      <xdr:rowOff>167640</xdr:rowOff>
    </xdr:from>
    <xdr:to>
      <xdr:col>2</xdr:col>
      <xdr:colOff>99060</xdr:colOff>
      <xdr:row>26</xdr:row>
      <xdr:rowOff>106680</xdr:rowOff>
    </xdr:to>
    <xdr:sp macro="" textlink="">
      <xdr:nvSpPr>
        <xdr:cNvPr id="5717" name="Line 68"/>
        <xdr:cNvSpPr>
          <a:spLocks noChangeShapeType="1"/>
        </xdr:cNvSpPr>
      </xdr:nvSpPr>
      <xdr:spPr bwMode="auto">
        <a:xfrm>
          <a:off x="1402080" y="5143500"/>
          <a:ext cx="99060" cy="1143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1028700</xdr:colOff>
      <xdr:row>26</xdr:row>
      <xdr:rowOff>0</xdr:rowOff>
    </xdr:from>
    <xdr:to>
      <xdr:col>1</xdr:col>
      <xdr:colOff>1089660</xdr:colOff>
      <xdr:row>26</xdr:row>
      <xdr:rowOff>106680</xdr:rowOff>
    </xdr:to>
    <xdr:sp macro="" textlink="">
      <xdr:nvSpPr>
        <xdr:cNvPr id="5718" name="Line 69"/>
        <xdr:cNvSpPr>
          <a:spLocks noChangeShapeType="1"/>
        </xdr:cNvSpPr>
      </xdr:nvSpPr>
      <xdr:spPr bwMode="auto">
        <a:xfrm flipH="1">
          <a:off x="1341120" y="5151120"/>
          <a:ext cx="60960" cy="10668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1043940</xdr:colOff>
      <xdr:row>26</xdr:row>
      <xdr:rowOff>106680</xdr:rowOff>
    </xdr:from>
    <xdr:to>
      <xdr:col>2</xdr:col>
      <xdr:colOff>99060</xdr:colOff>
      <xdr:row>26</xdr:row>
      <xdr:rowOff>106680</xdr:rowOff>
    </xdr:to>
    <xdr:sp macro="" textlink="">
      <xdr:nvSpPr>
        <xdr:cNvPr id="5719" name="Line 70"/>
        <xdr:cNvSpPr>
          <a:spLocks noChangeShapeType="1"/>
        </xdr:cNvSpPr>
      </xdr:nvSpPr>
      <xdr:spPr bwMode="auto">
        <a:xfrm>
          <a:off x="1356360" y="5257800"/>
          <a:ext cx="14478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137160</xdr:colOff>
      <xdr:row>26</xdr:row>
      <xdr:rowOff>7620</xdr:rowOff>
    </xdr:from>
    <xdr:to>
      <xdr:col>5</xdr:col>
      <xdr:colOff>243840</xdr:colOff>
      <xdr:row>26</xdr:row>
      <xdr:rowOff>121920</xdr:rowOff>
    </xdr:to>
    <xdr:sp macro="" textlink="">
      <xdr:nvSpPr>
        <xdr:cNvPr id="5720" name="Line 71"/>
        <xdr:cNvSpPr>
          <a:spLocks noChangeShapeType="1"/>
        </xdr:cNvSpPr>
      </xdr:nvSpPr>
      <xdr:spPr bwMode="auto">
        <a:xfrm>
          <a:off x="3025140" y="5158740"/>
          <a:ext cx="106680" cy="1143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45720</xdr:colOff>
      <xdr:row>26</xdr:row>
      <xdr:rowOff>15240</xdr:rowOff>
    </xdr:from>
    <xdr:to>
      <xdr:col>5</xdr:col>
      <xdr:colOff>129540</xdr:colOff>
      <xdr:row>26</xdr:row>
      <xdr:rowOff>121920</xdr:rowOff>
    </xdr:to>
    <xdr:sp macro="" textlink="">
      <xdr:nvSpPr>
        <xdr:cNvPr id="5721" name="Line 72"/>
        <xdr:cNvSpPr>
          <a:spLocks noChangeShapeType="1"/>
        </xdr:cNvSpPr>
      </xdr:nvSpPr>
      <xdr:spPr bwMode="auto">
        <a:xfrm flipH="1">
          <a:off x="2933700" y="5166360"/>
          <a:ext cx="83820" cy="10668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60960</xdr:colOff>
      <xdr:row>26</xdr:row>
      <xdr:rowOff>121920</xdr:rowOff>
    </xdr:from>
    <xdr:to>
      <xdr:col>5</xdr:col>
      <xdr:colOff>243840</xdr:colOff>
      <xdr:row>26</xdr:row>
      <xdr:rowOff>121920</xdr:rowOff>
    </xdr:to>
    <xdr:sp macro="" textlink="">
      <xdr:nvSpPr>
        <xdr:cNvPr id="5722" name="Line 73"/>
        <xdr:cNvSpPr>
          <a:spLocks noChangeShapeType="1"/>
        </xdr:cNvSpPr>
      </xdr:nvSpPr>
      <xdr:spPr bwMode="auto">
        <a:xfrm>
          <a:off x="2948940" y="5273040"/>
          <a:ext cx="18288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45720</xdr:colOff>
      <xdr:row>26</xdr:row>
      <xdr:rowOff>0</xdr:rowOff>
    </xdr:from>
    <xdr:to>
      <xdr:col>9</xdr:col>
      <xdr:colOff>152400</xdr:colOff>
      <xdr:row>26</xdr:row>
      <xdr:rowOff>114300</xdr:rowOff>
    </xdr:to>
    <xdr:sp macro="" textlink="">
      <xdr:nvSpPr>
        <xdr:cNvPr id="5723" name="Line 74"/>
        <xdr:cNvSpPr>
          <a:spLocks noChangeShapeType="1"/>
        </xdr:cNvSpPr>
      </xdr:nvSpPr>
      <xdr:spPr bwMode="auto">
        <a:xfrm>
          <a:off x="4564380" y="5151120"/>
          <a:ext cx="106680" cy="1143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26</xdr:row>
      <xdr:rowOff>7620</xdr:rowOff>
    </xdr:from>
    <xdr:to>
      <xdr:col>9</xdr:col>
      <xdr:colOff>45720</xdr:colOff>
      <xdr:row>26</xdr:row>
      <xdr:rowOff>114300</xdr:rowOff>
    </xdr:to>
    <xdr:sp macro="" textlink="">
      <xdr:nvSpPr>
        <xdr:cNvPr id="5724" name="Line 75"/>
        <xdr:cNvSpPr>
          <a:spLocks noChangeShapeType="1"/>
        </xdr:cNvSpPr>
      </xdr:nvSpPr>
      <xdr:spPr bwMode="auto">
        <a:xfrm flipH="1">
          <a:off x="4480560" y="5158740"/>
          <a:ext cx="83820" cy="10668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350520</xdr:colOff>
      <xdr:row>26</xdr:row>
      <xdr:rowOff>114300</xdr:rowOff>
    </xdr:from>
    <xdr:to>
      <xdr:col>9</xdr:col>
      <xdr:colOff>160020</xdr:colOff>
      <xdr:row>26</xdr:row>
      <xdr:rowOff>114300</xdr:rowOff>
    </xdr:to>
    <xdr:sp macro="" textlink="">
      <xdr:nvSpPr>
        <xdr:cNvPr id="5725" name="Line 76"/>
        <xdr:cNvSpPr>
          <a:spLocks noChangeShapeType="1"/>
        </xdr:cNvSpPr>
      </xdr:nvSpPr>
      <xdr:spPr bwMode="auto">
        <a:xfrm>
          <a:off x="4488180" y="5265420"/>
          <a:ext cx="19050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25</xdr:row>
      <xdr:rowOff>137160</xdr:rowOff>
    </xdr:from>
    <xdr:to>
      <xdr:col>3</xdr:col>
      <xdr:colOff>228600</xdr:colOff>
      <xdr:row>26</xdr:row>
      <xdr:rowOff>22860</xdr:rowOff>
    </xdr:to>
    <xdr:sp macro="" textlink="">
      <xdr:nvSpPr>
        <xdr:cNvPr id="5726" name="Line 77"/>
        <xdr:cNvSpPr>
          <a:spLocks noChangeShapeType="1"/>
        </xdr:cNvSpPr>
      </xdr:nvSpPr>
      <xdr:spPr bwMode="auto">
        <a:xfrm>
          <a:off x="2156460" y="511302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25</xdr:row>
      <xdr:rowOff>137160</xdr:rowOff>
    </xdr:from>
    <xdr:to>
      <xdr:col>3</xdr:col>
      <xdr:colOff>228600</xdr:colOff>
      <xdr:row>26</xdr:row>
      <xdr:rowOff>22860</xdr:rowOff>
    </xdr:to>
    <xdr:sp macro="" textlink="">
      <xdr:nvSpPr>
        <xdr:cNvPr id="5727" name="Line 78"/>
        <xdr:cNvSpPr>
          <a:spLocks noChangeShapeType="1"/>
        </xdr:cNvSpPr>
      </xdr:nvSpPr>
      <xdr:spPr bwMode="auto">
        <a:xfrm>
          <a:off x="2156460" y="511302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25</xdr:row>
      <xdr:rowOff>137160</xdr:rowOff>
    </xdr:from>
    <xdr:to>
      <xdr:col>3</xdr:col>
      <xdr:colOff>228600</xdr:colOff>
      <xdr:row>26</xdr:row>
      <xdr:rowOff>22860</xdr:rowOff>
    </xdr:to>
    <xdr:sp macro="" textlink="">
      <xdr:nvSpPr>
        <xdr:cNvPr id="5728" name="Line 79"/>
        <xdr:cNvSpPr>
          <a:spLocks noChangeShapeType="1"/>
        </xdr:cNvSpPr>
      </xdr:nvSpPr>
      <xdr:spPr bwMode="auto">
        <a:xfrm>
          <a:off x="2156460" y="511302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83820</xdr:colOff>
      <xdr:row>25</xdr:row>
      <xdr:rowOff>137160</xdr:rowOff>
    </xdr:from>
    <xdr:to>
      <xdr:col>5</xdr:col>
      <xdr:colOff>83820</xdr:colOff>
      <xdr:row>26</xdr:row>
      <xdr:rowOff>22860</xdr:rowOff>
    </xdr:to>
    <xdr:sp macro="" textlink="">
      <xdr:nvSpPr>
        <xdr:cNvPr id="5729" name="Line 80"/>
        <xdr:cNvSpPr>
          <a:spLocks noChangeShapeType="1"/>
        </xdr:cNvSpPr>
      </xdr:nvSpPr>
      <xdr:spPr bwMode="auto">
        <a:xfrm>
          <a:off x="2971800" y="511302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25</xdr:row>
      <xdr:rowOff>137160</xdr:rowOff>
    </xdr:from>
    <xdr:to>
      <xdr:col>3</xdr:col>
      <xdr:colOff>228600</xdr:colOff>
      <xdr:row>26</xdr:row>
      <xdr:rowOff>22860</xdr:rowOff>
    </xdr:to>
    <xdr:sp macro="" textlink="">
      <xdr:nvSpPr>
        <xdr:cNvPr id="5730" name="Line 81"/>
        <xdr:cNvSpPr>
          <a:spLocks noChangeShapeType="1"/>
        </xdr:cNvSpPr>
      </xdr:nvSpPr>
      <xdr:spPr bwMode="auto">
        <a:xfrm>
          <a:off x="2156460" y="511302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160020</xdr:colOff>
      <xdr:row>25</xdr:row>
      <xdr:rowOff>152400</xdr:rowOff>
    </xdr:from>
    <xdr:to>
      <xdr:col>7</xdr:col>
      <xdr:colOff>160020</xdr:colOff>
      <xdr:row>26</xdr:row>
      <xdr:rowOff>38100</xdr:rowOff>
    </xdr:to>
    <xdr:sp macro="" textlink="">
      <xdr:nvSpPr>
        <xdr:cNvPr id="5731" name="Line 82"/>
        <xdr:cNvSpPr>
          <a:spLocks noChangeShapeType="1"/>
        </xdr:cNvSpPr>
      </xdr:nvSpPr>
      <xdr:spPr bwMode="auto">
        <a:xfrm>
          <a:off x="3886200" y="512826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22860</xdr:colOff>
      <xdr:row>25</xdr:row>
      <xdr:rowOff>152400</xdr:rowOff>
    </xdr:from>
    <xdr:to>
      <xdr:col>9</xdr:col>
      <xdr:colOff>22860</xdr:colOff>
      <xdr:row>26</xdr:row>
      <xdr:rowOff>38100</xdr:rowOff>
    </xdr:to>
    <xdr:sp macro="" textlink="">
      <xdr:nvSpPr>
        <xdr:cNvPr id="5732" name="Line 83"/>
        <xdr:cNvSpPr>
          <a:spLocks noChangeShapeType="1"/>
        </xdr:cNvSpPr>
      </xdr:nvSpPr>
      <xdr:spPr bwMode="auto">
        <a:xfrm>
          <a:off x="4541520" y="512826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22860</xdr:colOff>
      <xdr:row>25</xdr:row>
      <xdr:rowOff>152400</xdr:rowOff>
    </xdr:from>
    <xdr:to>
      <xdr:col>9</xdr:col>
      <xdr:colOff>22860</xdr:colOff>
      <xdr:row>26</xdr:row>
      <xdr:rowOff>38100</xdr:rowOff>
    </xdr:to>
    <xdr:sp macro="" textlink="">
      <xdr:nvSpPr>
        <xdr:cNvPr id="5733" name="Line 84"/>
        <xdr:cNvSpPr>
          <a:spLocks noChangeShapeType="1"/>
        </xdr:cNvSpPr>
      </xdr:nvSpPr>
      <xdr:spPr bwMode="auto">
        <a:xfrm>
          <a:off x="4541520" y="5128260"/>
          <a:ext cx="0" cy="6096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24</xdr:row>
      <xdr:rowOff>165735</xdr:rowOff>
    </xdr:from>
    <xdr:to>
      <xdr:col>3</xdr:col>
      <xdr:colOff>329688</xdr:colOff>
      <xdr:row>26</xdr:row>
      <xdr:rowOff>9684</xdr:rowOff>
    </xdr:to>
    <xdr:sp macro="" textlink="">
      <xdr:nvSpPr>
        <xdr:cNvPr id="5205" name="Text Box 85"/>
        <xdr:cNvSpPr txBox="1">
          <a:spLocks noChangeArrowheads="1"/>
        </xdr:cNvSpPr>
      </xdr:nvSpPr>
      <xdr:spPr bwMode="auto">
        <a:xfrm>
          <a:off x="1952625" y="5076825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13</a:t>
          </a:r>
        </a:p>
      </xdr:txBody>
    </xdr:sp>
    <xdr:clientData/>
  </xdr:twoCellAnchor>
  <xdr:twoCellAnchor>
    <xdr:from>
      <xdr:col>4</xdr:col>
      <xdr:colOff>350520</xdr:colOff>
      <xdr:row>26</xdr:row>
      <xdr:rowOff>0</xdr:rowOff>
    </xdr:from>
    <xdr:to>
      <xdr:col>5</xdr:col>
      <xdr:colOff>142933</xdr:colOff>
      <xdr:row>27</xdr:row>
      <xdr:rowOff>11577</xdr:rowOff>
    </xdr:to>
    <xdr:sp macro="" textlink="">
      <xdr:nvSpPr>
        <xdr:cNvPr id="5206" name="Text Box 86"/>
        <xdr:cNvSpPr txBox="1">
          <a:spLocks noChangeArrowheads="1"/>
        </xdr:cNvSpPr>
      </xdr:nvSpPr>
      <xdr:spPr bwMode="auto">
        <a:xfrm>
          <a:off x="2714625" y="5276850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14</a:t>
          </a:r>
        </a:p>
      </xdr:txBody>
    </xdr:sp>
    <xdr:clientData/>
  </xdr:twoCellAnchor>
  <xdr:twoCellAnchor>
    <xdr:from>
      <xdr:col>7</xdr:col>
      <xdr:colOff>9525</xdr:colOff>
      <xdr:row>25</xdr:row>
      <xdr:rowOff>11430</xdr:rowOff>
    </xdr:from>
    <xdr:to>
      <xdr:col>7</xdr:col>
      <xdr:colOff>247650</xdr:colOff>
      <xdr:row>26</xdr:row>
      <xdr:rowOff>38252</xdr:rowOff>
    </xdr:to>
    <xdr:sp macro="" textlink="">
      <xdr:nvSpPr>
        <xdr:cNvPr id="5207" name="Text Box 87"/>
        <xdr:cNvSpPr txBox="1">
          <a:spLocks noChangeArrowheads="1"/>
        </xdr:cNvSpPr>
      </xdr:nvSpPr>
      <xdr:spPr bwMode="auto">
        <a:xfrm>
          <a:off x="3638550" y="5105400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15</a:t>
          </a:r>
        </a:p>
      </xdr:txBody>
    </xdr:sp>
    <xdr:clientData/>
  </xdr:twoCellAnchor>
  <xdr:twoCellAnchor>
    <xdr:from>
      <xdr:col>8</xdr:col>
      <xdr:colOff>180975</xdr:colOff>
      <xdr:row>25</xdr:row>
      <xdr:rowOff>165735</xdr:rowOff>
    </xdr:from>
    <xdr:to>
      <xdr:col>9</xdr:col>
      <xdr:colOff>47625</xdr:colOff>
      <xdr:row>27</xdr:row>
      <xdr:rowOff>9684</xdr:rowOff>
    </xdr:to>
    <xdr:sp macro="" textlink="">
      <xdr:nvSpPr>
        <xdr:cNvPr id="5208" name="Text Box 88"/>
        <xdr:cNvSpPr txBox="1">
          <a:spLocks noChangeArrowheads="1"/>
        </xdr:cNvSpPr>
      </xdr:nvSpPr>
      <xdr:spPr bwMode="auto">
        <a:xfrm>
          <a:off x="4210050" y="5267325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16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388620</xdr:colOff>
      <xdr:row>16</xdr:row>
      <xdr:rowOff>7620</xdr:rowOff>
    </xdr:from>
    <xdr:to>
      <xdr:col>6</xdr:col>
      <xdr:colOff>274320</xdr:colOff>
      <xdr:row>16</xdr:row>
      <xdr:rowOff>7620</xdr:rowOff>
    </xdr:to>
    <xdr:sp macro="" textlink="">
      <xdr:nvSpPr>
        <xdr:cNvPr id="6289" name="Line 23"/>
        <xdr:cNvSpPr>
          <a:spLocks noChangeShapeType="1"/>
        </xdr:cNvSpPr>
      </xdr:nvSpPr>
      <xdr:spPr bwMode="auto">
        <a:xfrm>
          <a:off x="2766060" y="3939540"/>
          <a:ext cx="1508760" cy="0"/>
        </a:xfrm>
        <a:prstGeom prst="line">
          <a:avLst/>
        </a:prstGeom>
        <a:noFill/>
        <a:ln w="101600">
          <a:pattFill prst="diagBrick">
            <a:fgClr>
              <a:srgbClr val="000000"/>
            </a:fgClr>
            <a:bgClr>
              <a:srgbClr val="FFFFFF"/>
            </a:bgClr>
          </a:pattFill>
          <a:round/>
          <a:headEnd/>
          <a:tailEnd/>
        </a:ln>
      </xdr:spPr>
    </xdr:sp>
    <xdr:clientData/>
  </xdr:twoCellAnchor>
  <xdr:twoCellAnchor>
    <xdr:from>
      <xdr:col>3</xdr:col>
      <xdr:colOff>213360</xdr:colOff>
      <xdr:row>17</xdr:row>
      <xdr:rowOff>220980</xdr:rowOff>
    </xdr:from>
    <xdr:to>
      <xdr:col>8</xdr:col>
      <xdr:colOff>0</xdr:colOff>
      <xdr:row>18</xdr:row>
      <xdr:rowOff>198120</xdr:rowOff>
    </xdr:to>
    <xdr:sp macro="" textlink="">
      <xdr:nvSpPr>
        <xdr:cNvPr id="6290" name="Rectangle 1" descr="قطري فاتح إلى الأعلى"/>
        <xdr:cNvSpPr>
          <a:spLocks noChangeArrowheads="1"/>
        </xdr:cNvSpPr>
      </xdr:nvSpPr>
      <xdr:spPr bwMode="auto">
        <a:xfrm>
          <a:off x="2590800" y="4434840"/>
          <a:ext cx="2407920" cy="259080"/>
        </a:xfrm>
        <a:prstGeom prst="rect">
          <a:avLst/>
        </a:prstGeom>
        <a:pattFill prst="ltUpDiag">
          <a:fgClr>
            <a:srgbClr val="000000"/>
          </a:fgClr>
          <a:bgClr>
            <a:srgbClr val="FFFFFF"/>
          </a:bgClr>
        </a:pattFill>
        <a:ln w="190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60960</xdr:colOff>
      <xdr:row>18</xdr:row>
      <xdr:rowOff>198120</xdr:rowOff>
    </xdr:from>
    <xdr:to>
      <xdr:col>8</xdr:col>
      <xdr:colOff>152400</xdr:colOff>
      <xdr:row>19</xdr:row>
      <xdr:rowOff>99060</xdr:rowOff>
    </xdr:to>
    <xdr:sp macro="" textlink="">
      <xdr:nvSpPr>
        <xdr:cNvPr id="6291" name="Rectangle 2" descr="قصاصات ورق كبيرة"/>
        <xdr:cNvSpPr>
          <a:spLocks noChangeArrowheads="1"/>
        </xdr:cNvSpPr>
      </xdr:nvSpPr>
      <xdr:spPr bwMode="auto">
        <a:xfrm>
          <a:off x="2438400" y="4693920"/>
          <a:ext cx="2712720" cy="182880"/>
        </a:xfrm>
        <a:prstGeom prst="rect">
          <a:avLst/>
        </a:prstGeom>
        <a:pattFill prst="lgConfetti">
          <a:fgClr>
            <a:srgbClr val="000000"/>
          </a:fgClr>
          <a:bgClr>
            <a:srgbClr val="FFFFFF"/>
          </a:bgClr>
        </a:pattFill>
        <a:ln w="1270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281940</xdr:colOff>
      <xdr:row>11</xdr:row>
      <xdr:rowOff>137160</xdr:rowOff>
    </xdr:from>
    <xdr:to>
      <xdr:col>6</xdr:col>
      <xdr:colOff>441960</xdr:colOff>
      <xdr:row>17</xdr:row>
      <xdr:rowOff>220980</xdr:rowOff>
    </xdr:to>
    <xdr:sp macro="" textlink="">
      <xdr:nvSpPr>
        <xdr:cNvPr id="6292" name="Rectangle 3" descr="قطري فاتح إلى الأعلى"/>
        <xdr:cNvSpPr>
          <a:spLocks noChangeArrowheads="1"/>
        </xdr:cNvSpPr>
      </xdr:nvSpPr>
      <xdr:spPr bwMode="auto">
        <a:xfrm>
          <a:off x="4282440" y="2560320"/>
          <a:ext cx="160020" cy="1874520"/>
        </a:xfrm>
        <a:prstGeom prst="rect">
          <a:avLst/>
        </a:prstGeom>
        <a:pattFill prst="ltUpDiag">
          <a:fgClr>
            <a:srgbClr val="000000"/>
          </a:fgClr>
          <a:bgClr>
            <a:srgbClr val="FFFFFF"/>
          </a:bgClr>
        </a:pattFill>
        <a:ln w="190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449580</xdr:colOff>
      <xdr:row>12</xdr:row>
      <xdr:rowOff>99060</xdr:rowOff>
    </xdr:from>
    <xdr:to>
      <xdr:col>8</xdr:col>
      <xdr:colOff>411480</xdr:colOff>
      <xdr:row>12</xdr:row>
      <xdr:rowOff>99060</xdr:rowOff>
    </xdr:to>
    <xdr:sp macro="" textlink="">
      <xdr:nvSpPr>
        <xdr:cNvPr id="6293" name="Line 4"/>
        <xdr:cNvSpPr>
          <a:spLocks noChangeShapeType="1"/>
        </xdr:cNvSpPr>
      </xdr:nvSpPr>
      <xdr:spPr bwMode="auto">
        <a:xfrm>
          <a:off x="4450080" y="2811780"/>
          <a:ext cx="899160" cy="0"/>
        </a:xfrm>
        <a:prstGeom prst="line">
          <a:avLst/>
        </a:prstGeom>
        <a:noFill/>
        <a:ln w="101600">
          <a:pattFill prst="diagBrick">
            <a:fgClr>
              <a:srgbClr val="000000"/>
            </a:fgClr>
            <a:bgClr>
              <a:srgbClr val="FFFFFF"/>
            </a:bgClr>
          </a:pattFill>
          <a:round/>
          <a:headEnd/>
          <a:tailEnd/>
        </a:ln>
      </xdr:spPr>
    </xdr:sp>
    <xdr:clientData/>
  </xdr:twoCellAnchor>
  <xdr:twoCellAnchor>
    <xdr:from>
      <xdr:col>7</xdr:col>
      <xdr:colOff>373380</xdr:colOff>
      <xdr:row>19</xdr:row>
      <xdr:rowOff>137160</xdr:rowOff>
    </xdr:from>
    <xdr:to>
      <xdr:col>7</xdr:col>
      <xdr:colOff>373380</xdr:colOff>
      <xdr:row>21</xdr:row>
      <xdr:rowOff>7620</xdr:rowOff>
    </xdr:to>
    <xdr:sp macro="" textlink="">
      <xdr:nvSpPr>
        <xdr:cNvPr id="6294" name="Line 5"/>
        <xdr:cNvSpPr>
          <a:spLocks noChangeShapeType="1"/>
        </xdr:cNvSpPr>
      </xdr:nvSpPr>
      <xdr:spPr bwMode="auto">
        <a:xfrm>
          <a:off x="4998720" y="4914900"/>
          <a:ext cx="0" cy="2057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19</xdr:row>
      <xdr:rowOff>137160</xdr:rowOff>
    </xdr:from>
    <xdr:to>
      <xdr:col>3</xdr:col>
      <xdr:colOff>228600</xdr:colOff>
      <xdr:row>21</xdr:row>
      <xdr:rowOff>7620</xdr:rowOff>
    </xdr:to>
    <xdr:sp macro="" textlink="">
      <xdr:nvSpPr>
        <xdr:cNvPr id="6295" name="Line 6"/>
        <xdr:cNvSpPr>
          <a:spLocks noChangeShapeType="1"/>
        </xdr:cNvSpPr>
      </xdr:nvSpPr>
      <xdr:spPr bwMode="auto">
        <a:xfrm>
          <a:off x="2606040" y="4914900"/>
          <a:ext cx="0" cy="2057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20</xdr:row>
      <xdr:rowOff>144780</xdr:rowOff>
    </xdr:from>
    <xdr:to>
      <xdr:col>7</xdr:col>
      <xdr:colOff>365760</xdr:colOff>
      <xdr:row>20</xdr:row>
      <xdr:rowOff>144780</xdr:rowOff>
    </xdr:to>
    <xdr:sp macro="" textlink="">
      <xdr:nvSpPr>
        <xdr:cNvPr id="6296" name="Line 7"/>
        <xdr:cNvSpPr>
          <a:spLocks noChangeShapeType="1"/>
        </xdr:cNvSpPr>
      </xdr:nvSpPr>
      <xdr:spPr bwMode="auto">
        <a:xfrm>
          <a:off x="2606040" y="5090160"/>
          <a:ext cx="238506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sm"/>
          <a:tailEnd type="triangle" w="med" len="sm"/>
        </a:ln>
      </xdr:spPr>
    </xdr:sp>
    <xdr:clientData/>
  </xdr:twoCellAnchor>
  <xdr:twoCellAnchor>
    <xdr:from>
      <xdr:col>8</xdr:col>
      <xdr:colOff>152400</xdr:colOff>
      <xdr:row>19</xdr:row>
      <xdr:rowOff>137160</xdr:rowOff>
    </xdr:from>
    <xdr:to>
      <xdr:col>8</xdr:col>
      <xdr:colOff>152400</xdr:colOff>
      <xdr:row>22</xdr:row>
      <xdr:rowOff>68580</xdr:rowOff>
    </xdr:to>
    <xdr:sp macro="" textlink="">
      <xdr:nvSpPr>
        <xdr:cNvPr id="6297" name="Line 8"/>
        <xdr:cNvSpPr>
          <a:spLocks noChangeShapeType="1"/>
        </xdr:cNvSpPr>
      </xdr:nvSpPr>
      <xdr:spPr bwMode="auto">
        <a:xfrm>
          <a:off x="5151120" y="4914900"/>
          <a:ext cx="0" cy="4343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60960</xdr:colOff>
      <xdr:row>19</xdr:row>
      <xdr:rowOff>137160</xdr:rowOff>
    </xdr:from>
    <xdr:to>
      <xdr:col>3</xdr:col>
      <xdr:colOff>60960</xdr:colOff>
      <xdr:row>22</xdr:row>
      <xdr:rowOff>68580</xdr:rowOff>
    </xdr:to>
    <xdr:sp macro="" textlink="">
      <xdr:nvSpPr>
        <xdr:cNvPr id="6298" name="Line 9"/>
        <xdr:cNvSpPr>
          <a:spLocks noChangeShapeType="1"/>
        </xdr:cNvSpPr>
      </xdr:nvSpPr>
      <xdr:spPr bwMode="auto">
        <a:xfrm>
          <a:off x="2438400" y="4914900"/>
          <a:ext cx="0" cy="4343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60960</xdr:colOff>
      <xdr:row>21</xdr:row>
      <xdr:rowOff>160020</xdr:rowOff>
    </xdr:from>
    <xdr:to>
      <xdr:col>8</xdr:col>
      <xdr:colOff>144780</xdr:colOff>
      <xdr:row>21</xdr:row>
      <xdr:rowOff>160020</xdr:rowOff>
    </xdr:to>
    <xdr:sp macro="" textlink="">
      <xdr:nvSpPr>
        <xdr:cNvPr id="6299" name="Line 10"/>
        <xdr:cNvSpPr>
          <a:spLocks noChangeShapeType="1"/>
        </xdr:cNvSpPr>
      </xdr:nvSpPr>
      <xdr:spPr bwMode="auto">
        <a:xfrm>
          <a:off x="2438400" y="527304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sm"/>
          <a:tailEnd type="triangle" w="med" len="sm"/>
        </a:ln>
      </xdr:spPr>
    </xdr:sp>
    <xdr:clientData/>
  </xdr:twoCellAnchor>
  <xdr:twoCellAnchor>
    <xdr:from>
      <xdr:col>2</xdr:col>
      <xdr:colOff>434340</xdr:colOff>
      <xdr:row>17</xdr:row>
      <xdr:rowOff>228600</xdr:rowOff>
    </xdr:from>
    <xdr:to>
      <xdr:col>2</xdr:col>
      <xdr:colOff>434340</xdr:colOff>
      <xdr:row>18</xdr:row>
      <xdr:rowOff>190500</xdr:rowOff>
    </xdr:to>
    <xdr:sp macro="" textlink="">
      <xdr:nvSpPr>
        <xdr:cNvPr id="6300" name="Line 11"/>
        <xdr:cNvSpPr>
          <a:spLocks noChangeShapeType="1"/>
        </xdr:cNvSpPr>
      </xdr:nvSpPr>
      <xdr:spPr bwMode="auto">
        <a:xfrm flipV="1">
          <a:off x="2331720" y="4442460"/>
          <a:ext cx="0" cy="24384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sm"/>
          <a:tailEnd type="triangle" w="sm" len="sm"/>
        </a:ln>
      </xdr:spPr>
    </xdr:sp>
    <xdr:clientData/>
  </xdr:twoCellAnchor>
  <xdr:twoCellAnchor>
    <xdr:from>
      <xdr:col>2</xdr:col>
      <xdr:colOff>434340</xdr:colOff>
      <xdr:row>18</xdr:row>
      <xdr:rowOff>198120</xdr:rowOff>
    </xdr:from>
    <xdr:to>
      <xdr:col>2</xdr:col>
      <xdr:colOff>434340</xdr:colOff>
      <xdr:row>19</xdr:row>
      <xdr:rowOff>99060</xdr:rowOff>
    </xdr:to>
    <xdr:sp macro="" textlink="">
      <xdr:nvSpPr>
        <xdr:cNvPr id="6301" name="Line 12"/>
        <xdr:cNvSpPr>
          <a:spLocks noChangeShapeType="1"/>
        </xdr:cNvSpPr>
      </xdr:nvSpPr>
      <xdr:spPr bwMode="auto">
        <a:xfrm>
          <a:off x="2331720" y="4693920"/>
          <a:ext cx="0" cy="18288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sm"/>
          <a:tailEnd type="triangle" w="sm" len="sm"/>
        </a:ln>
      </xdr:spPr>
    </xdr:sp>
    <xdr:clientData/>
  </xdr:twoCellAnchor>
  <xdr:twoCellAnchor>
    <xdr:from>
      <xdr:col>3</xdr:col>
      <xdr:colOff>205740</xdr:colOff>
      <xdr:row>16</xdr:row>
      <xdr:rowOff>259080</xdr:rowOff>
    </xdr:from>
    <xdr:to>
      <xdr:col>6</xdr:col>
      <xdr:colOff>281940</xdr:colOff>
      <xdr:row>16</xdr:row>
      <xdr:rowOff>259080</xdr:rowOff>
    </xdr:to>
    <xdr:sp macro="" textlink="">
      <xdr:nvSpPr>
        <xdr:cNvPr id="6302" name="Line 13"/>
        <xdr:cNvSpPr>
          <a:spLocks noChangeShapeType="1"/>
        </xdr:cNvSpPr>
      </xdr:nvSpPr>
      <xdr:spPr bwMode="auto">
        <a:xfrm flipH="1">
          <a:off x="2583180" y="4191000"/>
          <a:ext cx="169926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sm"/>
          <a:tailEnd type="triangle" w="sm" len="sm"/>
        </a:ln>
      </xdr:spPr>
    </xdr:sp>
    <xdr:clientData/>
  </xdr:twoCellAnchor>
  <xdr:twoCellAnchor>
    <xdr:from>
      <xdr:col>6</xdr:col>
      <xdr:colOff>449580</xdr:colOff>
      <xdr:row>16</xdr:row>
      <xdr:rowOff>259080</xdr:rowOff>
    </xdr:from>
    <xdr:to>
      <xdr:col>7</xdr:col>
      <xdr:colOff>396240</xdr:colOff>
      <xdr:row>16</xdr:row>
      <xdr:rowOff>259080</xdr:rowOff>
    </xdr:to>
    <xdr:sp macro="" textlink="">
      <xdr:nvSpPr>
        <xdr:cNvPr id="6303" name="Line 14"/>
        <xdr:cNvSpPr>
          <a:spLocks noChangeShapeType="1"/>
        </xdr:cNvSpPr>
      </xdr:nvSpPr>
      <xdr:spPr bwMode="auto">
        <a:xfrm>
          <a:off x="4450080" y="4191000"/>
          <a:ext cx="54864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sm"/>
          <a:tailEnd type="triangle" w="sm" len="sm"/>
        </a:ln>
      </xdr:spPr>
    </xdr:sp>
    <xdr:clientData/>
  </xdr:twoCellAnchor>
  <xdr:twoCellAnchor>
    <xdr:from>
      <xdr:col>7</xdr:col>
      <xdr:colOff>274320</xdr:colOff>
      <xdr:row>12</xdr:row>
      <xdr:rowOff>45720</xdr:rowOff>
    </xdr:from>
    <xdr:to>
      <xdr:col>7</xdr:col>
      <xdr:colOff>274320</xdr:colOff>
      <xdr:row>17</xdr:row>
      <xdr:rowOff>190500</xdr:rowOff>
    </xdr:to>
    <xdr:sp macro="" textlink="">
      <xdr:nvSpPr>
        <xdr:cNvPr id="6304" name="Line 16"/>
        <xdr:cNvSpPr>
          <a:spLocks noChangeShapeType="1"/>
        </xdr:cNvSpPr>
      </xdr:nvSpPr>
      <xdr:spPr bwMode="auto">
        <a:xfrm flipV="1">
          <a:off x="4899660" y="2758440"/>
          <a:ext cx="0" cy="164592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sm"/>
          <a:tailEnd type="triangle" w="sm" len="sm"/>
        </a:ln>
      </xdr:spPr>
    </xdr:sp>
    <xdr:clientData/>
  </xdr:twoCellAnchor>
  <xdr:twoCellAnchor>
    <xdr:from>
      <xdr:col>6</xdr:col>
      <xdr:colOff>274320</xdr:colOff>
      <xdr:row>11</xdr:row>
      <xdr:rowOff>45720</xdr:rowOff>
    </xdr:from>
    <xdr:to>
      <xdr:col>6</xdr:col>
      <xdr:colOff>449580</xdr:colOff>
      <xdr:row>11</xdr:row>
      <xdr:rowOff>45720</xdr:rowOff>
    </xdr:to>
    <xdr:sp macro="" textlink="">
      <xdr:nvSpPr>
        <xdr:cNvPr id="6305" name="Line 17"/>
        <xdr:cNvSpPr>
          <a:spLocks noChangeShapeType="1"/>
        </xdr:cNvSpPr>
      </xdr:nvSpPr>
      <xdr:spPr bwMode="auto">
        <a:xfrm flipV="1">
          <a:off x="4274820" y="2468880"/>
          <a:ext cx="17526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sm"/>
          <a:tailEnd type="triangle" w="sm" len="sm"/>
        </a:ln>
      </xdr:spPr>
    </xdr:sp>
    <xdr:clientData/>
  </xdr:twoCellAnchor>
  <xdr:twoCellAnchor>
    <xdr:from>
      <xdr:col>6</xdr:col>
      <xdr:colOff>441960</xdr:colOff>
      <xdr:row>12</xdr:row>
      <xdr:rowOff>38100</xdr:rowOff>
    </xdr:from>
    <xdr:to>
      <xdr:col>8</xdr:col>
      <xdr:colOff>396240</xdr:colOff>
      <xdr:row>12</xdr:row>
      <xdr:rowOff>38100</xdr:rowOff>
    </xdr:to>
    <xdr:sp macro="" textlink="">
      <xdr:nvSpPr>
        <xdr:cNvPr id="6306" name="Line 18"/>
        <xdr:cNvSpPr>
          <a:spLocks noChangeShapeType="1"/>
        </xdr:cNvSpPr>
      </xdr:nvSpPr>
      <xdr:spPr bwMode="auto">
        <a:xfrm>
          <a:off x="4442460" y="2750820"/>
          <a:ext cx="90678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114300</xdr:colOff>
      <xdr:row>17</xdr:row>
      <xdr:rowOff>266700</xdr:rowOff>
    </xdr:from>
    <xdr:to>
      <xdr:col>5</xdr:col>
      <xdr:colOff>405871</xdr:colOff>
      <xdr:row>18</xdr:row>
      <xdr:rowOff>142875</xdr:rowOff>
    </xdr:to>
    <xdr:sp macro="" textlink="">
      <xdr:nvSpPr>
        <xdr:cNvPr id="6163" name="Text Box 19"/>
        <xdr:cNvSpPr txBox="1">
          <a:spLocks noChangeArrowheads="1"/>
        </xdr:cNvSpPr>
      </xdr:nvSpPr>
      <xdr:spPr bwMode="auto">
        <a:xfrm>
          <a:off x="3514725" y="4486275"/>
          <a:ext cx="276225" cy="161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R.C</a:t>
          </a:r>
        </a:p>
      </xdr:txBody>
    </xdr:sp>
    <xdr:clientData/>
  </xdr:twoCellAnchor>
  <xdr:twoCellAnchor>
    <xdr:from>
      <xdr:col>5</xdr:col>
      <xdr:colOff>160020</xdr:colOff>
      <xdr:row>18</xdr:row>
      <xdr:rowOff>228600</xdr:rowOff>
    </xdr:from>
    <xdr:to>
      <xdr:col>5</xdr:col>
      <xdr:colOff>379095</xdr:colOff>
      <xdr:row>19</xdr:row>
      <xdr:rowOff>66675</xdr:rowOff>
    </xdr:to>
    <xdr:sp macro="" textlink="">
      <xdr:nvSpPr>
        <xdr:cNvPr id="6164" name="Text Box 20"/>
        <xdr:cNvSpPr txBox="1">
          <a:spLocks noChangeArrowheads="1"/>
        </xdr:cNvSpPr>
      </xdr:nvSpPr>
      <xdr:spPr bwMode="auto">
        <a:xfrm>
          <a:off x="3552825" y="4733925"/>
          <a:ext cx="219075" cy="1238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P.C</a:t>
          </a:r>
        </a:p>
      </xdr:txBody>
    </xdr:sp>
    <xdr:clientData/>
  </xdr:twoCellAnchor>
  <xdr:twoCellAnchor>
    <xdr:from>
      <xdr:col>6</xdr:col>
      <xdr:colOff>449580</xdr:colOff>
      <xdr:row>11</xdr:row>
      <xdr:rowOff>236220</xdr:rowOff>
    </xdr:from>
    <xdr:to>
      <xdr:col>9</xdr:col>
      <xdr:colOff>0</xdr:colOff>
      <xdr:row>12</xdr:row>
      <xdr:rowOff>30480</xdr:rowOff>
    </xdr:to>
    <xdr:sp macro="" textlink="">
      <xdr:nvSpPr>
        <xdr:cNvPr id="6309" name="Rectangle 21" descr="Light vertical"/>
        <xdr:cNvSpPr>
          <a:spLocks noChangeArrowheads="1"/>
        </xdr:cNvSpPr>
      </xdr:nvSpPr>
      <xdr:spPr bwMode="auto">
        <a:xfrm>
          <a:off x="4450080" y="2659380"/>
          <a:ext cx="899160" cy="83820"/>
        </a:xfrm>
        <a:prstGeom prst="rect">
          <a:avLst/>
        </a:prstGeom>
        <a:pattFill prst="ltVert">
          <a:fgClr>
            <a:srgbClr val="000000"/>
          </a:fgClr>
          <a:bgClr>
            <a:srgbClr val="FFFFFF"/>
          </a:bgClr>
        </a:patt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388620</xdr:colOff>
      <xdr:row>15</xdr:row>
      <xdr:rowOff>259080</xdr:rowOff>
    </xdr:from>
    <xdr:to>
      <xdr:col>6</xdr:col>
      <xdr:colOff>274320</xdr:colOff>
      <xdr:row>15</xdr:row>
      <xdr:rowOff>259080</xdr:rowOff>
    </xdr:to>
    <xdr:sp macro="" textlink="">
      <xdr:nvSpPr>
        <xdr:cNvPr id="6310" name="Line 22"/>
        <xdr:cNvSpPr>
          <a:spLocks noChangeShapeType="1"/>
        </xdr:cNvSpPr>
      </xdr:nvSpPr>
      <xdr:spPr bwMode="auto">
        <a:xfrm>
          <a:off x="2766060" y="3886200"/>
          <a:ext cx="150876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487680</xdr:colOff>
      <xdr:row>11</xdr:row>
      <xdr:rowOff>137160</xdr:rowOff>
    </xdr:from>
    <xdr:to>
      <xdr:col>5</xdr:col>
      <xdr:colOff>487680</xdr:colOff>
      <xdr:row>17</xdr:row>
      <xdr:rowOff>213360</xdr:rowOff>
    </xdr:to>
    <xdr:sp macro="" textlink="">
      <xdr:nvSpPr>
        <xdr:cNvPr id="6311" name="Line 15"/>
        <xdr:cNvSpPr>
          <a:spLocks noChangeShapeType="1"/>
        </xdr:cNvSpPr>
      </xdr:nvSpPr>
      <xdr:spPr bwMode="auto">
        <a:xfrm flipV="1">
          <a:off x="3977640" y="2560320"/>
          <a:ext cx="0" cy="186690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sm"/>
          <a:tailEnd type="triangle" w="sm" len="sm"/>
        </a:ln>
      </xdr:spPr>
    </xdr:sp>
    <xdr:clientData/>
  </xdr:twoCellAnchor>
  <xdr:twoCellAnchor>
    <xdr:from>
      <xdr:col>3</xdr:col>
      <xdr:colOff>167640</xdr:colOff>
      <xdr:row>15</xdr:row>
      <xdr:rowOff>251460</xdr:rowOff>
    </xdr:from>
    <xdr:to>
      <xdr:col>3</xdr:col>
      <xdr:colOff>167640</xdr:colOff>
      <xdr:row>17</xdr:row>
      <xdr:rowOff>213360</xdr:rowOff>
    </xdr:to>
    <xdr:sp macro="" textlink="">
      <xdr:nvSpPr>
        <xdr:cNvPr id="6312" name="Line 24"/>
        <xdr:cNvSpPr>
          <a:spLocks noChangeShapeType="1"/>
        </xdr:cNvSpPr>
      </xdr:nvSpPr>
      <xdr:spPr bwMode="auto">
        <a:xfrm flipV="1">
          <a:off x="2545080" y="3878580"/>
          <a:ext cx="0" cy="54864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sm"/>
          <a:tailEnd type="triangle" w="sm" len="sm"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129540</xdr:colOff>
      <xdr:row>9</xdr:row>
      <xdr:rowOff>68580</xdr:rowOff>
    </xdr:from>
    <xdr:to>
      <xdr:col>7</xdr:col>
      <xdr:colOff>137160</xdr:colOff>
      <xdr:row>12</xdr:row>
      <xdr:rowOff>114300</xdr:rowOff>
    </xdr:to>
    <xdr:grpSp>
      <xdr:nvGrpSpPr>
        <xdr:cNvPr id="1080" name="Group 10"/>
        <xdr:cNvGrpSpPr>
          <a:grpSpLocks/>
        </xdr:cNvGrpSpPr>
      </xdr:nvGrpSpPr>
      <xdr:grpSpPr bwMode="auto">
        <a:xfrm>
          <a:off x="1584960" y="2141220"/>
          <a:ext cx="2872740" cy="891540"/>
          <a:chOff x="274" y="96"/>
          <a:chExt cx="259" cy="95"/>
        </a:xfrm>
      </xdr:grpSpPr>
      <xdr:sp macro="" textlink="">
        <xdr:nvSpPr>
          <xdr:cNvPr id="1033" name="Text Box 9"/>
          <xdr:cNvSpPr txBox="1">
            <a:spLocks noChangeArrowheads="1"/>
          </xdr:cNvSpPr>
        </xdr:nvSpPr>
        <xdr:spPr bwMode="auto">
          <a:xfrm>
            <a:off x="392" y="165"/>
            <a:ext cx="37" cy="26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</a:t>
            </a:r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378" y="115"/>
            <a:ext cx="76" cy="26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</a:t>
            </a:r>
            <a:r>
              <a:rPr lang="en-US" sz="10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DL</a:t>
            </a: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+ W</a:t>
            </a:r>
            <a:r>
              <a:rPr lang="en-US" sz="10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LL</a:t>
            </a:r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274" y="96"/>
            <a:ext cx="60" cy="26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</a:t>
            </a:r>
            <a:r>
              <a:rPr lang="en-US" sz="10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DL</a:t>
            </a: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+ P</a:t>
            </a:r>
            <a:r>
              <a:rPr lang="en-US" sz="10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LL</a:t>
            </a:r>
          </a:p>
        </xdr:txBody>
      </xdr:sp>
      <xdr:sp macro="" textlink="">
        <xdr:nvSpPr>
          <xdr:cNvPr id="1084" name="Line 1"/>
          <xdr:cNvSpPr>
            <a:spLocks noChangeShapeType="1"/>
          </xdr:cNvSpPr>
        </xdr:nvSpPr>
        <xdr:spPr bwMode="auto">
          <a:xfrm>
            <a:off x="301" y="145"/>
            <a:ext cx="232" cy="0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85" name="Line 2"/>
          <xdr:cNvSpPr>
            <a:spLocks noChangeShapeType="1"/>
          </xdr:cNvSpPr>
        </xdr:nvSpPr>
        <xdr:spPr bwMode="auto">
          <a:xfrm>
            <a:off x="530" y="130"/>
            <a:ext cx="0" cy="30"/>
          </a:xfrm>
          <a:prstGeom prst="line">
            <a:avLst/>
          </a:prstGeom>
          <a:noFill/>
          <a:ln w="76200">
            <a:pattFill prst="dkUpDiag">
              <a:fgClr>
                <a:srgbClr val="000000"/>
              </a:fgClr>
              <a:bgClr>
                <a:srgbClr val="FFFFFF"/>
              </a:bgClr>
            </a:pattFill>
            <a:round/>
            <a:headEnd/>
            <a:tailEnd/>
          </a:ln>
        </xdr:spPr>
      </xdr:sp>
      <xdr:sp macro="" textlink="">
        <xdr:nvSpPr>
          <xdr:cNvPr id="1086" name="Line 3"/>
          <xdr:cNvSpPr>
            <a:spLocks noChangeShapeType="1"/>
          </xdr:cNvSpPr>
        </xdr:nvSpPr>
        <xdr:spPr bwMode="auto">
          <a:xfrm>
            <a:off x="302" y="116"/>
            <a:ext cx="0" cy="28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 type="triangle" w="sm" len="med"/>
          </a:ln>
        </xdr:spPr>
      </xdr:sp>
      <xdr:sp macro="" textlink="">
        <xdr:nvSpPr>
          <xdr:cNvPr id="1087" name="Line 5"/>
          <xdr:cNvSpPr>
            <a:spLocks noChangeShapeType="1"/>
          </xdr:cNvSpPr>
        </xdr:nvSpPr>
        <xdr:spPr bwMode="auto">
          <a:xfrm flipH="1">
            <a:off x="305" y="136"/>
            <a:ext cx="22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88" name="Line 8"/>
          <xdr:cNvSpPr>
            <a:spLocks noChangeShapeType="1"/>
          </xdr:cNvSpPr>
        </xdr:nvSpPr>
        <xdr:spPr bwMode="auto">
          <a:xfrm flipH="1">
            <a:off x="301" y="183"/>
            <a:ext cx="22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sm" len="med"/>
            <a:tailEnd type="triangle" w="sm" len="med"/>
          </a:ln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274320</xdr:colOff>
      <xdr:row>11</xdr:row>
      <xdr:rowOff>114300</xdr:rowOff>
    </xdr:from>
    <xdr:to>
      <xdr:col>5</xdr:col>
      <xdr:colOff>255270</xdr:colOff>
      <xdr:row>12</xdr:row>
      <xdr:rowOff>76200</xdr:rowOff>
    </xdr:to>
    <xdr:sp macro="" textlink="">
      <xdr:nvSpPr>
        <xdr:cNvPr id="2068" name="Text Box 20"/>
        <xdr:cNvSpPr txBox="1">
          <a:spLocks noChangeArrowheads="1"/>
        </xdr:cNvSpPr>
      </xdr:nvSpPr>
      <xdr:spPr bwMode="auto">
        <a:xfrm>
          <a:off x="2733675" y="2762250"/>
          <a:ext cx="495300" cy="247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Span/2</a:t>
          </a:r>
        </a:p>
      </xdr:txBody>
    </xdr:sp>
    <xdr:clientData/>
  </xdr:twoCellAnchor>
  <xdr:twoCellAnchor>
    <xdr:from>
      <xdr:col>2</xdr:col>
      <xdr:colOff>219075</xdr:colOff>
      <xdr:row>11</xdr:row>
      <xdr:rowOff>114300</xdr:rowOff>
    </xdr:from>
    <xdr:to>
      <xdr:col>3</xdr:col>
      <xdr:colOff>207703</xdr:colOff>
      <xdr:row>12</xdr:row>
      <xdr:rowOff>76200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1638300" y="2762250"/>
          <a:ext cx="495300" cy="247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Span/2</a:t>
          </a:r>
        </a:p>
      </xdr:txBody>
    </xdr:sp>
    <xdr:clientData/>
  </xdr:twoCellAnchor>
  <xdr:twoCellAnchor>
    <xdr:from>
      <xdr:col>4</xdr:col>
      <xdr:colOff>236220</xdr:colOff>
      <xdr:row>9</xdr:row>
      <xdr:rowOff>209550</xdr:rowOff>
    </xdr:from>
    <xdr:to>
      <xdr:col>5</xdr:col>
      <xdr:colOff>445770</xdr:colOff>
      <xdr:row>10</xdr:row>
      <xdr:rowOff>171450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2695575" y="2286000"/>
          <a:ext cx="723900" cy="247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  <a:r>
            <a:rPr lang="en-US" sz="10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DL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+ W</a:t>
          </a:r>
          <a:r>
            <a:rPr lang="en-US" sz="10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LL</a:t>
          </a:r>
        </a:p>
      </xdr:txBody>
    </xdr:sp>
    <xdr:clientData/>
  </xdr:twoCellAnchor>
  <xdr:twoCellAnchor>
    <xdr:from>
      <xdr:col>3</xdr:col>
      <xdr:colOff>226695</xdr:colOff>
      <xdr:row>9</xdr:row>
      <xdr:rowOff>9525</xdr:rowOff>
    </xdr:from>
    <xdr:to>
      <xdr:col>4</xdr:col>
      <xdr:colOff>264795</xdr:colOff>
      <xdr:row>9</xdr:row>
      <xdr:rowOff>257175</xdr:rowOff>
    </xdr:to>
    <xdr:sp macro="" textlink="">
      <xdr:nvSpPr>
        <xdr:cNvPr id="2052" name="Text Box 4"/>
        <xdr:cNvSpPr txBox="1">
          <a:spLocks noChangeArrowheads="1"/>
        </xdr:cNvSpPr>
      </xdr:nvSpPr>
      <xdr:spPr bwMode="auto">
        <a:xfrm>
          <a:off x="2152650" y="2085975"/>
          <a:ext cx="571500" cy="247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  <a:r>
            <a:rPr lang="en-US" sz="10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DL</a:t>
          </a: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+ P</a:t>
          </a:r>
          <a:r>
            <a:rPr lang="en-US" sz="10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LL</a:t>
          </a:r>
        </a:p>
      </xdr:txBody>
    </xdr:sp>
    <xdr:clientData/>
  </xdr:twoCellAnchor>
  <xdr:twoCellAnchor>
    <xdr:from>
      <xdr:col>1</xdr:col>
      <xdr:colOff>1036320</xdr:colOff>
      <xdr:row>10</xdr:row>
      <xdr:rowOff>213360</xdr:rowOff>
    </xdr:from>
    <xdr:to>
      <xdr:col>5</xdr:col>
      <xdr:colOff>563880</xdr:colOff>
      <xdr:row>10</xdr:row>
      <xdr:rowOff>213360</xdr:rowOff>
    </xdr:to>
    <xdr:sp macro="" textlink="">
      <xdr:nvSpPr>
        <xdr:cNvPr id="2158" name="Line 5"/>
        <xdr:cNvSpPr>
          <a:spLocks noChangeShapeType="1"/>
        </xdr:cNvSpPr>
      </xdr:nvSpPr>
      <xdr:spPr bwMode="auto">
        <a:xfrm>
          <a:off x="1348740" y="2567940"/>
          <a:ext cx="227076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480060</xdr:colOff>
      <xdr:row>9</xdr:row>
      <xdr:rowOff>220980</xdr:rowOff>
    </xdr:from>
    <xdr:to>
      <xdr:col>3</xdr:col>
      <xdr:colOff>480060</xdr:colOff>
      <xdr:row>10</xdr:row>
      <xdr:rowOff>198120</xdr:rowOff>
    </xdr:to>
    <xdr:sp macro="" textlink="">
      <xdr:nvSpPr>
        <xdr:cNvPr id="2159" name="Line 7"/>
        <xdr:cNvSpPr>
          <a:spLocks noChangeShapeType="1"/>
        </xdr:cNvSpPr>
      </xdr:nvSpPr>
      <xdr:spPr bwMode="auto">
        <a:xfrm>
          <a:off x="2461260" y="2293620"/>
          <a:ext cx="0" cy="25908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 type="triangle" w="sm" len="med"/>
        </a:ln>
      </xdr:spPr>
    </xdr:sp>
    <xdr:clientData/>
  </xdr:twoCellAnchor>
  <xdr:twoCellAnchor>
    <xdr:from>
      <xdr:col>1</xdr:col>
      <xdr:colOff>1043940</xdr:colOff>
      <xdr:row>10</xdr:row>
      <xdr:rowOff>121920</xdr:rowOff>
    </xdr:from>
    <xdr:to>
      <xdr:col>5</xdr:col>
      <xdr:colOff>563880</xdr:colOff>
      <xdr:row>10</xdr:row>
      <xdr:rowOff>121920</xdr:rowOff>
    </xdr:to>
    <xdr:sp macro="" textlink="">
      <xdr:nvSpPr>
        <xdr:cNvPr id="2160" name="Line 8"/>
        <xdr:cNvSpPr>
          <a:spLocks noChangeShapeType="1"/>
        </xdr:cNvSpPr>
      </xdr:nvSpPr>
      <xdr:spPr bwMode="auto">
        <a:xfrm flipH="1">
          <a:off x="1356360" y="2476500"/>
          <a:ext cx="226314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1036320</xdr:colOff>
      <xdr:row>12</xdr:row>
      <xdr:rowOff>0</xdr:rowOff>
    </xdr:from>
    <xdr:to>
      <xdr:col>3</xdr:col>
      <xdr:colOff>502920</xdr:colOff>
      <xdr:row>12</xdr:row>
      <xdr:rowOff>0</xdr:rowOff>
    </xdr:to>
    <xdr:sp macro="" textlink="">
      <xdr:nvSpPr>
        <xdr:cNvPr id="2161" name="Line 9"/>
        <xdr:cNvSpPr>
          <a:spLocks noChangeShapeType="1"/>
        </xdr:cNvSpPr>
      </xdr:nvSpPr>
      <xdr:spPr bwMode="auto">
        <a:xfrm flipH="1">
          <a:off x="1348740" y="2918460"/>
          <a:ext cx="113538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med"/>
          <a:tailEnd type="triangle" w="sm" len="med"/>
        </a:ln>
      </xdr:spPr>
    </xdr:sp>
    <xdr:clientData/>
  </xdr:twoCellAnchor>
  <xdr:twoCellAnchor>
    <xdr:from>
      <xdr:col>5</xdr:col>
      <xdr:colOff>548640</xdr:colOff>
      <xdr:row>10</xdr:row>
      <xdr:rowOff>198120</xdr:rowOff>
    </xdr:from>
    <xdr:to>
      <xdr:col>6</xdr:col>
      <xdr:colOff>22860</xdr:colOff>
      <xdr:row>11</xdr:row>
      <xdr:rowOff>38100</xdr:rowOff>
    </xdr:to>
    <xdr:sp macro="" textlink="">
      <xdr:nvSpPr>
        <xdr:cNvPr id="2162" name="Line 11"/>
        <xdr:cNvSpPr>
          <a:spLocks noChangeShapeType="1"/>
        </xdr:cNvSpPr>
      </xdr:nvSpPr>
      <xdr:spPr bwMode="auto">
        <a:xfrm>
          <a:off x="3604260" y="2552700"/>
          <a:ext cx="114300" cy="12192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464820</xdr:colOff>
      <xdr:row>10</xdr:row>
      <xdr:rowOff>213360</xdr:rowOff>
    </xdr:from>
    <xdr:to>
      <xdr:col>5</xdr:col>
      <xdr:colOff>548640</xdr:colOff>
      <xdr:row>11</xdr:row>
      <xdr:rowOff>38100</xdr:rowOff>
    </xdr:to>
    <xdr:sp macro="" textlink="">
      <xdr:nvSpPr>
        <xdr:cNvPr id="2163" name="Line 12"/>
        <xdr:cNvSpPr>
          <a:spLocks noChangeShapeType="1"/>
        </xdr:cNvSpPr>
      </xdr:nvSpPr>
      <xdr:spPr bwMode="auto">
        <a:xfrm flipH="1">
          <a:off x="3520440" y="2567940"/>
          <a:ext cx="83820" cy="10668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464820</xdr:colOff>
      <xdr:row>11</xdr:row>
      <xdr:rowOff>38100</xdr:rowOff>
    </xdr:from>
    <xdr:to>
      <xdr:col>6</xdr:col>
      <xdr:colOff>7620</xdr:colOff>
      <xdr:row>11</xdr:row>
      <xdr:rowOff>38100</xdr:rowOff>
    </xdr:to>
    <xdr:sp macro="" textlink="">
      <xdr:nvSpPr>
        <xdr:cNvPr id="2164" name="Line 13"/>
        <xdr:cNvSpPr>
          <a:spLocks noChangeShapeType="1"/>
        </xdr:cNvSpPr>
      </xdr:nvSpPr>
      <xdr:spPr bwMode="auto">
        <a:xfrm>
          <a:off x="3520440" y="2674620"/>
          <a:ext cx="18288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563880</xdr:colOff>
      <xdr:row>10</xdr:row>
      <xdr:rowOff>121920</xdr:rowOff>
    </xdr:from>
    <xdr:to>
      <xdr:col>5</xdr:col>
      <xdr:colOff>563880</xdr:colOff>
      <xdr:row>10</xdr:row>
      <xdr:rowOff>205740</xdr:rowOff>
    </xdr:to>
    <xdr:sp macro="" textlink="">
      <xdr:nvSpPr>
        <xdr:cNvPr id="2165" name="Line 14"/>
        <xdr:cNvSpPr>
          <a:spLocks noChangeShapeType="1"/>
        </xdr:cNvSpPr>
      </xdr:nvSpPr>
      <xdr:spPr bwMode="auto">
        <a:xfrm>
          <a:off x="3619500" y="2476500"/>
          <a:ext cx="0" cy="838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1036320</xdr:colOff>
      <xdr:row>10</xdr:row>
      <xdr:rowOff>213360</xdr:rowOff>
    </xdr:from>
    <xdr:to>
      <xdr:col>2</xdr:col>
      <xdr:colOff>0</xdr:colOff>
      <xdr:row>11</xdr:row>
      <xdr:rowOff>45720</xdr:rowOff>
    </xdr:to>
    <xdr:sp macro="" textlink="">
      <xdr:nvSpPr>
        <xdr:cNvPr id="2166" name="Line 15"/>
        <xdr:cNvSpPr>
          <a:spLocks noChangeShapeType="1"/>
        </xdr:cNvSpPr>
      </xdr:nvSpPr>
      <xdr:spPr bwMode="auto">
        <a:xfrm>
          <a:off x="1348740" y="2567940"/>
          <a:ext cx="106680" cy="1143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944880</xdr:colOff>
      <xdr:row>10</xdr:row>
      <xdr:rowOff>220980</xdr:rowOff>
    </xdr:from>
    <xdr:to>
      <xdr:col>1</xdr:col>
      <xdr:colOff>1036320</xdr:colOff>
      <xdr:row>11</xdr:row>
      <xdr:rowOff>45720</xdr:rowOff>
    </xdr:to>
    <xdr:sp macro="" textlink="">
      <xdr:nvSpPr>
        <xdr:cNvPr id="2167" name="Line 16"/>
        <xdr:cNvSpPr>
          <a:spLocks noChangeShapeType="1"/>
        </xdr:cNvSpPr>
      </xdr:nvSpPr>
      <xdr:spPr bwMode="auto">
        <a:xfrm flipH="1">
          <a:off x="1257300" y="2575560"/>
          <a:ext cx="91440" cy="10668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960120</xdr:colOff>
      <xdr:row>11</xdr:row>
      <xdr:rowOff>45720</xdr:rowOff>
    </xdr:from>
    <xdr:to>
      <xdr:col>2</xdr:col>
      <xdr:colOff>0</xdr:colOff>
      <xdr:row>11</xdr:row>
      <xdr:rowOff>45720</xdr:rowOff>
    </xdr:to>
    <xdr:sp macro="" textlink="">
      <xdr:nvSpPr>
        <xdr:cNvPr id="2168" name="Line 17"/>
        <xdr:cNvSpPr>
          <a:spLocks noChangeShapeType="1"/>
        </xdr:cNvSpPr>
      </xdr:nvSpPr>
      <xdr:spPr bwMode="auto">
        <a:xfrm>
          <a:off x="1272540" y="2682240"/>
          <a:ext cx="18288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1043940</xdr:colOff>
      <xdr:row>10</xdr:row>
      <xdr:rowOff>121920</xdr:rowOff>
    </xdr:from>
    <xdr:to>
      <xdr:col>1</xdr:col>
      <xdr:colOff>1043940</xdr:colOff>
      <xdr:row>10</xdr:row>
      <xdr:rowOff>205740</xdr:rowOff>
    </xdr:to>
    <xdr:sp macro="" textlink="">
      <xdr:nvSpPr>
        <xdr:cNvPr id="2169" name="Line 18"/>
        <xdr:cNvSpPr>
          <a:spLocks noChangeShapeType="1"/>
        </xdr:cNvSpPr>
      </xdr:nvSpPr>
      <xdr:spPr bwMode="auto">
        <a:xfrm>
          <a:off x="1356360" y="2476500"/>
          <a:ext cx="0" cy="838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480060</xdr:colOff>
      <xdr:row>12</xdr:row>
      <xdr:rowOff>0</xdr:rowOff>
    </xdr:from>
    <xdr:to>
      <xdr:col>5</xdr:col>
      <xdr:colOff>541020</xdr:colOff>
      <xdr:row>12</xdr:row>
      <xdr:rowOff>0</xdr:rowOff>
    </xdr:to>
    <xdr:sp macro="" textlink="">
      <xdr:nvSpPr>
        <xdr:cNvPr id="2170" name="Line 19"/>
        <xdr:cNvSpPr>
          <a:spLocks noChangeShapeType="1"/>
        </xdr:cNvSpPr>
      </xdr:nvSpPr>
      <xdr:spPr bwMode="auto">
        <a:xfrm flipH="1">
          <a:off x="2461260" y="2918460"/>
          <a:ext cx="113538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med"/>
          <a:tailEnd type="triangle" w="sm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I46"/>
  <sheetViews>
    <sheetView topLeftCell="A6" workbookViewId="0">
      <selection activeCell="O30" sqref="O30"/>
    </sheetView>
  </sheetViews>
  <sheetFormatPr defaultColWidth="9.140625" defaultRowHeight="12.75" x14ac:dyDescent="0.2"/>
  <cols>
    <col min="1" max="1" width="12.85546875" style="30" customWidth="1"/>
    <col min="2" max="16384" width="9.140625" style="30"/>
  </cols>
  <sheetData>
    <row r="14" spans="1:9" ht="36.75" x14ac:dyDescent="0.45">
      <c r="A14" s="244" t="s">
        <v>134</v>
      </c>
      <c r="B14" s="244"/>
      <c r="C14" s="244"/>
      <c r="D14" s="244"/>
      <c r="E14" s="244"/>
      <c r="F14" s="244"/>
      <c r="G14" s="244"/>
      <c r="H14" s="244"/>
      <c r="I14" s="244"/>
    </row>
    <row r="16" spans="1:9" ht="20.25" x14ac:dyDescent="0.3">
      <c r="A16" s="246" t="s">
        <v>164</v>
      </c>
      <c r="B16" s="246"/>
      <c r="C16" s="246"/>
      <c r="D16" s="246"/>
      <c r="E16" s="246"/>
      <c r="F16" s="246"/>
      <c r="G16" s="246"/>
      <c r="H16" s="246"/>
      <c r="I16" s="246"/>
    </row>
    <row r="18" spans="1:9" ht="18.75" x14ac:dyDescent="0.3">
      <c r="A18" s="245" t="s">
        <v>250</v>
      </c>
      <c r="B18" s="245"/>
      <c r="C18" s="245"/>
      <c r="D18" s="245"/>
      <c r="E18" s="245"/>
      <c r="F18" s="245"/>
      <c r="G18" s="245"/>
      <c r="H18" s="245"/>
      <c r="I18" s="245"/>
    </row>
    <row r="22" spans="1:9" ht="15.75" x14ac:dyDescent="0.25">
      <c r="A22" s="242" t="s">
        <v>45</v>
      </c>
      <c r="B22" s="242"/>
      <c r="C22" s="242"/>
      <c r="D22" s="242"/>
      <c r="E22" s="242"/>
      <c r="F22" s="242"/>
      <c r="G22" s="242"/>
      <c r="H22" s="242"/>
      <c r="I22" s="242"/>
    </row>
    <row r="23" spans="1:9" ht="15.75" x14ac:dyDescent="0.25">
      <c r="A23" s="243" t="s">
        <v>46</v>
      </c>
      <c r="B23" s="243"/>
      <c r="C23" s="243"/>
      <c r="D23" s="243"/>
      <c r="E23" s="243"/>
      <c r="F23" s="243"/>
      <c r="G23" s="243"/>
      <c r="H23" s="243"/>
      <c r="I23" s="243"/>
    </row>
    <row r="24" spans="1:9" x14ac:dyDescent="0.2">
      <c r="A24" s="32"/>
      <c r="B24" s="32"/>
      <c r="C24" s="32"/>
      <c r="D24" s="32"/>
      <c r="E24" s="32"/>
      <c r="F24" s="32"/>
      <c r="G24" s="32"/>
      <c r="H24" s="32"/>
      <c r="I24" s="32"/>
    </row>
    <row r="25" spans="1:9" ht="15.75" x14ac:dyDescent="0.25">
      <c r="A25" s="242" t="s">
        <v>47</v>
      </c>
      <c r="B25" s="242"/>
      <c r="C25" s="242"/>
      <c r="D25" s="242"/>
      <c r="E25" s="242"/>
      <c r="F25" s="242"/>
      <c r="G25" s="242"/>
      <c r="H25" s="242"/>
      <c r="I25" s="242"/>
    </row>
    <row r="26" spans="1:9" ht="15.75" x14ac:dyDescent="0.25">
      <c r="A26" s="242" t="s">
        <v>48</v>
      </c>
      <c r="B26" s="242"/>
      <c r="C26" s="242"/>
      <c r="D26" s="242"/>
      <c r="E26" s="242"/>
      <c r="F26" s="242"/>
      <c r="G26" s="242"/>
      <c r="H26" s="242"/>
      <c r="I26" s="242"/>
    </row>
    <row r="27" spans="1:9" ht="15.75" x14ac:dyDescent="0.25">
      <c r="A27" s="31"/>
      <c r="B27" s="31"/>
      <c r="C27" s="31"/>
      <c r="D27" s="31"/>
      <c r="E27" s="31"/>
      <c r="F27" s="31"/>
      <c r="G27" s="31"/>
      <c r="H27" s="31"/>
      <c r="I27" s="31"/>
    </row>
    <row r="28" spans="1:9" ht="15.75" x14ac:dyDescent="0.25">
      <c r="A28" s="31"/>
      <c r="B28" s="31"/>
      <c r="C28" s="31"/>
      <c r="D28" s="31"/>
      <c r="E28" s="31"/>
      <c r="F28" s="31"/>
      <c r="G28" s="31"/>
      <c r="H28" s="31"/>
      <c r="I28" s="31"/>
    </row>
    <row r="29" spans="1:9" ht="15.75" x14ac:dyDescent="0.25">
      <c r="A29" s="31"/>
      <c r="B29" s="31"/>
      <c r="C29" s="31"/>
      <c r="D29" s="31"/>
      <c r="E29" s="31"/>
      <c r="F29" s="31"/>
      <c r="G29" s="31"/>
      <c r="H29" s="31"/>
      <c r="I29" s="31"/>
    </row>
    <row r="31" spans="1:9" ht="15.75" x14ac:dyDescent="0.25">
      <c r="B31" s="33" t="s">
        <v>97</v>
      </c>
    </row>
    <row r="32" spans="1:9" ht="15.75" x14ac:dyDescent="0.25">
      <c r="B32" s="33" t="s">
        <v>49</v>
      </c>
    </row>
    <row r="33" spans="2:2" ht="15.75" x14ac:dyDescent="0.25">
      <c r="B33" s="33" t="s">
        <v>201</v>
      </c>
    </row>
    <row r="34" spans="2:2" ht="15.75" x14ac:dyDescent="0.25">
      <c r="B34" s="33" t="s">
        <v>50</v>
      </c>
    </row>
    <row r="35" spans="2:2" ht="15.75" x14ac:dyDescent="0.25">
      <c r="B35" s="33" t="s">
        <v>235</v>
      </c>
    </row>
    <row r="36" spans="2:2" ht="15.75" x14ac:dyDescent="0.25">
      <c r="B36" s="33" t="s">
        <v>40</v>
      </c>
    </row>
    <row r="37" spans="2:2" ht="15.75" x14ac:dyDescent="0.25">
      <c r="B37" s="33" t="s">
        <v>61</v>
      </c>
    </row>
    <row r="38" spans="2:2" ht="15.75" x14ac:dyDescent="0.25">
      <c r="B38" s="33" t="s">
        <v>240</v>
      </c>
    </row>
    <row r="39" spans="2:2" ht="15.75" x14ac:dyDescent="0.25">
      <c r="B39" s="33" t="s">
        <v>241</v>
      </c>
    </row>
    <row r="40" spans="2:2" ht="15.75" x14ac:dyDescent="0.25">
      <c r="B40" s="33" t="s">
        <v>131</v>
      </c>
    </row>
    <row r="41" spans="2:2" ht="15.75" x14ac:dyDescent="0.25">
      <c r="B41" s="33" t="s">
        <v>242</v>
      </c>
    </row>
    <row r="42" spans="2:2" ht="15.75" x14ac:dyDescent="0.25">
      <c r="B42" s="33" t="s">
        <v>132</v>
      </c>
    </row>
    <row r="43" spans="2:2" ht="15.75" x14ac:dyDescent="0.25">
      <c r="B43" s="33" t="s">
        <v>154</v>
      </c>
    </row>
    <row r="44" spans="2:2" ht="15.75" x14ac:dyDescent="0.25">
      <c r="B44" s="33" t="s">
        <v>227</v>
      </c>
    </row>
    <row r="45" spans="2:2" ht="15.75" x14ac:dyDescent="0.25">
      <c r="B45" s="33" t="s">
        <v>63</v>
      </c>
    </row>
    <row r="46" spans="2:2" ht="15.75" x14ac:dyDescent="0.25">
      <c r="B46" s="33" t="s">
        <v>80</v>
      </c>
    </row>
  </sheetData>
  <sheetProtection sheet="1" objects="1" scenarios="1"/>
  <mergeCells count="7">
    <mergeCell ref="A25:I25"/>
    <mergeCell ref="A26:I26"/>
    <mergeCell ref="A23:I23"/>
    <mergeCell ref="A14:I14"/>
    <mergeCell ref="A22:I22"/>
    <mergeCell ref="A18:I18"/>
    <mergeCell ref="A16:I16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workbookViewId="0">
      <selection activeCell="C4" sqref="C4:L4"/>
    </sheetView>
  </sheetViews>
  <sheetFormatPr defaultColWidth="9.140625" defaultRowHeight="12.75" x14ac:dyDescent="0.2"/>
  <cols>
    <col min="1" max="1" width="5.42578125" style="30" customWidth="1"/>
    <col min="2" max="2" width="14.85546875" style="30" customWidth="1"/>
    <col min="3" max="3" width="7.7109375" style="30" customWidth="1"/>
    <col min="4" max="5" width="8.28515625" style="30" customWidth="1"/>
    <col min="6" max="6" width="6.85546875" style="30" customWidth="1"/>
    <col min="7" max="7" width="3.42578125" style="30" customWidth="1"/>
    <col min="8" max="8" width="7" style="30" customWidth="1"/>
    <col min="9" max="9" width="10.28515625" style="30" hidden="1" customWidth="1"/>
    <col min="10" max="11" width="0" style="30" hidden="1" customWidth="1"/>
    <col min="12" max="16384" width="9.140625" style="30"/>
  </cols>
  <sheetData>
    <row r="1" spans="1:12" ht="22.5" x14ac:dyDescent="0.3">
      <c r="A1" s="34" t="s">
        <v>237</v>
      </c>
    </row>
    <row r="4" spans="1:12" ht="18.75" x14ac:dyDescent="0.3">
      <c r="B4" s="35" t="s">
        <v>33</v>
      </c>
      <c r="C4" s="270"/>
      <c r="D4" s="270"/>
      <c r="E4" s="270"/>
      <c r="F4" s="270"/>
      <c r="G4" s="270"/>
      <c r="H4" s="270"/>
      <c r="I4" s="270"/>
      <c r="J4" s="270"/>
      <c r="K4" s="270"/>
      <c r="L4" s="270"/>
    </row>
    <row r="5" spans="1:12" ht="15.75" x14ac:dyDescent="0.25">
      <c r="B5" s="36"/>
    </row>
    <row r="6" spans="1:12" ht="13.5" thickBot="1" x14ac:dyDescent="0.25"/>
    <row r="7" spans="1:12" ht="22.5" customHeight="1" thickTop="1" x14ac:dyDescent="0.3">
      <c r="B7" s="52" t="s">
        <v>9</v>
      </c>
      <c r="C7" s="165">
        <v>225</v>
      </c>
      <c r="D7" s="53" t="s">
        <v>8</v>
      </c>
    </row>
    <row r="8" spans="1:12" ht="22.5" customHeight="1" thickBot="1" x14ac:dyDescent="0.35">
      <c r="B8" s="54" t="s">
        <v>44</v>
      </c>
      <c r="C8" s="166">
        <v>3600</v>
      </c>
      <c r="D8" s="55" t="s">
        <v>8</v>
      </c>
    </row>
    <row r="9" spans="1:12" ht="15.75" thickTop="1" x14ac:dyDescent="0.25">
      <c r="B9" s="50"/>
      <c r="C9" s="40"/>
    </row>
    <row r="10" spans="1:12" ht="13.5" thickBot="1" x14ac:dyDescent="0.25"/>
    <row r="11" spans="1:12" ht="15" customHeight="1" x14ac:dyDescent="0.2">
      <c r="A11" s="268" t="s">
        <v>88</v>
      </c>
      <c r="B11" s="6" t="s">
        <v>84</v>
      </c>
      <c r="C11" s="16" t="s">
        <v>86</v>
      </c>
      <c r="D11" s="233" t="s">
        <v>238</v>
      </c>
      <c r="E11" s="16" t="s">
        <v>2</v>
      </c>
      <c r="F11" s="281" t="s">
        <v>202</v>
      </c>
      <c r="G11" s="282"/>
      <c r="H11" s="289"/>
    </row>
    <row r="12" spans="1:12" ht="17.25" customHeight="1" thickBot="1" x14ac:dyDescent="0.3">
      <c r="A12" s="269"/>
      <c r="B12" s="8" t="s">
        <v>85</v>
      </c>
      <c r="C12" s="18" t="s">
        <v>87</v>
      </c>
      <c r="D12" s="22" t="s">
        <v>239</v>
      </c>
      <c r="E12" s="17" t="s">
        <v>184</v>
      </c>
      <c r="F12" s="284"/>
      <c r="G12" s="285"/>
      <c r="H12" s="290"/>
    </row>
    <row r="13" spans="1:12" ht="15" customHeight="1" x14ac:dyDescent="0.2">
      <c r="A13" s="103"/>
      <c r="B13" s="104"/>
      <c r="C13" s="74">
        <v>1</v>
      </c>
      <c r="D13" s="105">
        <f>INT(0.2*K13)*5+5</f>
        <v>40</v>
      </c>
      <c r="E13" s="56">
        <f>0.01*3.14*D13^2/4</f>
        <v>12.560000000000002</v>
      </c>
      <c r="F13" s="79">
        <f t="shared" ref="F13:F45" si="0">INT(E13*400/3.14/H13^2)+1</f>
        <v>7</v>
      </c>
      <c r="G13" s="75" t="s">
        <v>5</v>
      </c>
      <c r="H13" s="227">
        <v>16</v>
      </c>
      <c r="I13" s="30">
        <f>0.000004*$C$7^2 - 0.0032*$C$7 + 1.8789</f>
        <v>1.3613999999999999</v>
      </c>
      <c r="J13" s="30">
        <f>($B$14*1000/I13/$C$7)^0.5</f>
        <v>18.06824071388295</v>
      </c>
      <c r="K13" s="30">
        <f>J13*2</f>
        <v>36.136481427765901</v>
      </c>
    </row>
    <row r="14" spans="1:12" ht="15" customHeight="1" x14ac:dyDescent="0.2">
      <c r="A14" s="187">
        <v>1</v>
      </c>
      <c r="B14" s="188">
        <v>100</v>
      </c>
      <c r="C14" s="74">
        <v>1.3</v>
      </c>
      <c r="D14" s="105">
        <f t="shared" ref="D14:D45" si="1">INT(0.2*K14)*5+5</f>
        <v>35</v>
      </c>
      <c r="E14" s="56">
        <f>0.013*3.14*D14^2/4</f>
        <v>12.501125</v>
      </c>
      <c r="F14" s="79">
        <f t="shared" si="0"/>
        <v>7</v>
      </c>
      <c r="G14" s="76" t="s">
        <v>5</v>
      </c>
      <c r="H14" s="227">
        <v>16</v>
      </c>
      <c r="I14" s="30">
        <f>0.000003*$C$7^2 - 0.003*$C$7 + 1.9865</f>
        <v>1.4633749999999999</v>
      </c>
      <c r="J14" s="30">
        <f>($B$14*1000/I14/$C$7)^0.5</f>
        <v>17.427332820461096</v>
      </c>
      <c r="K14" s="30">
        <f t="shared" ref="K14:K45" si="2">J14*2</f>
        <v>34.854665640922192</v>
      </c>
    </row>
    <row r="15" spans="1:12" ht="15" customHeight="1" thickBot="1" x14ac:dyDescent="0.25">
      <c r="A15" s="187"/>
      <c r="B15" s="188"/>
      <c r="C15" s="106">
        <v>1.6</v>
      </c>
      <c r="D15" s="228">
        <f t="shared" si="1"/>
        <v>35</v>
      </c>
      <c r="E15" s="62">
        <f>0.016*3.14*D15^2/4</f>
        <v>15.385999999999999</v>
      </c>
      <c r="F15" s="117">
        <f t="shared" si="0"/>
        <v>7</v>
      </c>
      <c r="G15" s="109" t="s">
        <v>5</v>
      </c>
      <c r="H15" s="229">
        <v>18</v>
      </c>
      <c r="I15" s="30">
        <f>0.000005*$C$7^2 - 0.0043*$C$7 + 2.269</f>
        <v>1.5546250000000001</v>
      </c>
      <c r="J15" s="30">
        <f>($B$14*1000/I15/$C$7)^0.5</f>
        <v>16.908143197543698</v>
      </c>
      <c r="K15" s="30">
        <f t="shared" si="2"/>
        <v>33.816286395087396</v>
      </c>
    </row>
    <row r="16" spans="1:12" ht="15" customHeight="1" x14ac:dyDescent="0.2">
      <c r="A16" s="189"/>
      <c r="B16" s="190"/>
      <c r="C16" s="110">
        <v>1</v>
      </c>
      <c r="D16" s="107">
        <f t="shared" si="1"/>
        <v>40</v>
      </c>
      <c r="E16" s="56">
        <f>0.01*3.14*D16^2/4</f>
        <v>12.560000000000002</v>
      </c>
      <c r="F16" s="118">
        <f t="shared" si="0"/>
        <v>7</v>
      </c>
      <c r="G16" s="75" t="s">
        <v>5</v>
      </c>
      <c r="H16" s="230">
        <v>16</v>
      </c>
      <c r="I16" s="30">
        <f>0.000004*$C$7^2 - 0.0032*$C$7 + 1.8789</f>
        <v>1.3613999999999999</v>
      </c>
      <c r="J16" s="30">
        <f>($B$17*1000/I16/$C$7)^0.5</f>
        <v>19.792766026853876</v>
      </c>
      <c r="K16" s="30">
        <f t="shared" si="2"/>
        <v>39.585532053707752</v>
      </c>
    </row>
    <row r="17" spans="1:11" ht="15" customHeight="1" x14ac:dyDescent="0.2">
      <c r="A17" s="187">
        <v>2</v>
      </c>
      <c r="B17" s="188">
        <v>120</v>
      </c>
      <c r="C17" s="74">
        <v>1.3</v>
      </c>
      <c r="D17" s="231">
        <f t="shared" si="1"/>
        <v>40</v>
      </c>
      <c r="E17" s="56">
        <f>0.013*3.14*D17^2/4</f>
        <v>16.327999999999999</v>
      </c>
      <c r="F17" s="79">
        <f t="shared" si="0"/>
        <v>9</v>
      </c>
      <c r="G17" s="76" t="s">
        <v>5</v>
      </c>
      <c r="H17" s="227">
        <v>16</v>
      </c>
      <c r="I17" s="30">
        <f>0.000003*$C$7^2 - 0.003*$C$7 + 1.9865</f>
        <v>1.4633749999999999</v>
      </c>
      <c r="J17" s="30">
        <f>($B$17*1000/I17/$C$7)^0.5</f>
        <v>19.090686605833344</v>
      </c>
      <c r="K17" s="30">
        <f t="shared" si="2"/>
        <v>38.181373211666688</v>
      </c>
    </row>
    <row r="18" spans="1:11" ht="15" customHeight="1" thickBot="1" x14ac:dyDescent="0.25">
      <c r="A18" s="191"/>
      <c r="B18" s="164"/>
      <c r="C18" s="114">
        <v>1.6</v>
      </c>
      <c r="D18" s="115">
        <f t="shared" si="1"/>
        <v>40</v>
      </c>
      <c r="E18" s="116">
        <f>0.016*3.14*D18^2/4</f>
        <v>20.096</v>
      </c>
      <c r="F18" s="119">
        <f t="shared" si="0"/>
        <v>8</v>
      </c>
      <c r="G18" s="109" t="s">
        <v>5</v>
      </c>
      <c r="H18" s="232">
        <v>18</v>
      </c>
      <c r="I18" s="30">
        <f>0.000005*$C$7^2 - 0.0043*$C$7 + 2.269</f>
        <v>1.5546250000000001</v>
      </c>
      <c r="J18" s="30">
        <f>($B$17*1000/I18/$C$7)^0.5</f>
        <v>18.52194286964442</v>
      </c>
      <c r="K18" s="30">
        <f t="shared" si="2"/>
        <v>37.043885739288839</v>
      </c>
    </row>
    <row r="19" spans="1:11" ht="15" customHeight="1" x14ac:dyDescent="0.2">
      <c r="A19" s="187"/>
      <c r="B19" s="188"/>
      <c r="C19" s="74">
        <v>1</v>
      </c>
      <c r="D19" s="107">
        <f t="shared" si="1"/>
        <v>45</v>
      </c>
      <c r="E19" s="56">
        <f>0.01*3.14*D19^2/4</f>
        <v>15.896250000000002</v>
      </c>
      <c r="F19" s="79">
        <f t="shared" si="0"/>
        <v>8</v>
      </c>
      <c r="G19" s="75" t="s">
        <v>5</v>
      </c>
      <c r="H19" s="227">
        <v>16</v>
      </c>
      <c r="I19" s="30">
        <f>0.000004*$C$7^2 - 0.0032*$C$7 + 1.8789</f>
        <v>1.3613999999999999</v>
      </c>
      <c r="J19" s="30">
        <f>($B$20*1000/I19/$C$7)^0.5</f>
        <v>22.128985149396847</v>
      </c>
      <c r="K19" s="30">
        <f t="shared" si="2"/>
        <v>44.257970298793694</v>
      </c>
    </row>
    <row r="20" spans="1:11" ht="15" customHeight="1" x14ac:dyDescent="0.2">
      <c r="A20" s="187">
        <v>3</v>
      </c>
      <c r="B20" s="188">
        <v>150</v>
      </c>
      <c r="C20" s="74">
        <v>1.3</v>
      </c>
      <c r="D20" s="231">
        <f t="shared" si="1"/>
        <v>45</v>
      </c>
      <c r="E20" s="56">
        <f>0.013*3.14*D20^2/4</f>
        <v>20.665125</v>
      </c>
      <c r="F20" s="79">
        <f t="shared" si="0"/>
        <v>11</v>
      </c>
      <c r="G20" s="76" t="s">
        <v>5</v>
      </c>
      <c r="H20" s="227">
        <v>16</v>
      </c>
      <c r="I20" s="30">
        <f>0.000003*$C$7^2 - 0.003*$C$7 + 1.9865</f>
        <v>1.4633749999999999</v>
      </c>
      <c r="J20" s="30">
        <f>($B$20*1000/I20/$C$7)^0.5</f>
        <v>21.344036493894045</v>
      </c>
      <c r="K20" s="30">
        <f t="shared" si="2"/>
        <v>42.68807298778809</v>
      </c>
    </row>
    <row r="21" spans="1:11" ht="15" customHeight="1" thickBot="1" x14ac:dyDescent="0.25">
      <c r="A21" s="191"/>
      <c r="B21" s="164"/>
      <c r="C21" s="114">
        <v>1.6</v>
      </c>
      <c r="D21" s="115">
        <f t="shared" si="1"/>
        <v>45</v>
      </c>
      <c r="E21" s="116">
        <f>0.016*3.14*D21^2/4</f>
        <v>25.434000000000001</v>
      </c>
      <c r="F21" s="119">
        <f t="shared" si="0"/>
        <v>11</v>
      </c>
      <c r="G21" s="109" t="s">
        <v>5</v>
      </c>
      <c r="H21" s="232">
        <v>18</v>
      </c>
      <c r="I21" s="30">
        <f>0.000005*$C$7^2 - 0.0043*$C$7 + 2.269</f>
        <v>1.5546250000000001</v>
      </c>
      <c r="J21" s="30">
        <f>($B$20*1000/I21/$C$7)^0.5</f>
        <v>20.708161665946228</v>
      </c>
      <c r="K21" s="30">
        <f t="shared" si="2"/>
        <v>41.416323331892457</v>
      </c>
    </row>
    <row r="22" spans="1:11" ht="15" customHeight="1" x14ac:dyDescent="0.2">
      <c r="A22" s="187"/>
      <c r="B22" s="188"/>
      <c r="C22" s="74">
        <v>1</v>
      </c>
      <c r="D22" s="107">
        <f t="shared" si="1"/>
        <v>50</v>
      </c>
      <c r="E22" s="56">
        <f>0.01*3.14*D22^2/4</f>
        <v>19.625000000000004</v>
      </c>
      <c r="F22" s="79">
        <f t="shared" si="0"/>
        <v>10</v>
      </c>
      <c r="G22" s="75" t="s">
        <v>5</v>
      </c>
      <c r="H22" s="227">
        <v>16</v>
      </c>
      <c r="I22" s="30">
        <f>0.000004*$C$7^2 - 0.0032*$C$7 + 1.8789</f>
        <v>1.3613999999999999</v>
      </c>
      <c r="J22" s="30">
        <f>($B$23*1000/I22/$C$7)^0.5</f>
        <v>24.241088682042964</v>
      </c>
      <c r="K22" s="30">
        <f t="shared" si="2"/>
        <v>48.482177364085928</v>
      </c>
    </row>
    <row r="23" spans="1:11" ht="15" customHeight="1" x14ac:dyDescent="0.2">
      <c r="A23" s="187">
        <v>4</v>
      </c>
      <c r="B23" s="188">
        <v>180</v>
      </c>
      <c r="C23" s="74">
        <v>1.3</v>
      </c>
      <c r="D23" s="231">
        <f t="shared" si="1"/>
        <v>50</v>
      </c>
      <c r="E23" s="56">
        <f>0.013*3.14*D23^2/4</f>
        <v>25.512500000000003</v>
      </c>
      <c r="F23" s="79">
        <f t="shared" si="0"/>
        <v>13</v>
      </c>
      <c r="G23" s="76" t="s">
        <v>5</v>
      </c>
      <c r="H23" s="227">
        <v>16</v>
      </c>
      <c r="I23" s="30">
        <f>0.000003*$C$7^2 - 0.003*$C$7 + 1.9865</f>
        <v>1.4633749999999999</v>
      </c>
      <c r="J23" s="30">
        <f>($B$23*1000/I23/$C$7)^0.5</f>
        <v>23.381220511838489</v>
      </c>
      <c r="K23" s="30">
        <f t="shared" si="2"/>
        <v>46.762441023676978</v>
      </c>
    </row>
    <row r="24" spans="1:11" ht="15" customHeight="1" thickBot="1" x14ac:dyDescent="0.25">
      <c r="A24" s="191"/>
      <c r="B24" s="164"/>
      <c r="C24" s="114">
        <v>1.6</v>
      </c>
      <c r="D24" s="115">
        <f t="shared" si="1"/>
        <v>50</v>
      </c>
      <c r="E24" s="116">
        <f>0.016*3.14*D24^2/4</f>
        <v>31.4</v>
      </c>
      <c r="F24" s="119">
        <f t="shared" si="0"/>
        <v>13</v>
      </c>
      <c r="G24" s="109" t="s">
        <v>5</v>
      </c>
      <c r="H24" s="232">
        <v>18</v>
      </c>
      <c r="I24" s="30">
        <f>0.000005*$C$7^2 - 0.0043*$C$7 + 2.269</f>
        <v>1.5546250000000001</v>
      </c>
      <c r="J24" s="30">
        <f>($B$23*1000/I24/$C$7)^0.5</f>
        <v>22.684654537805017</v>
      </c>
      <c r="K24" s="30">
        <f t="shared" si="2"/>
        <v>45.369309075610033</v>
      </c>
    </row>
    <row r="25" spans="1:11" ht="15" customHeight="1" x14ac:dyDescent="0.2">
      <c r="A25" s="187"/>
      <c r="B25" s="188"/>
      <c r="C25" s="74">
        <v>1</v>
      </c>
      <c r="D25" s="107">
        <f t="shared" si="1"/>
        <v>55</v>
      </c>
      <c r="E25" s="56">
        <f>0.01*3.14*D25^2/4</f>
        <v>23.746250000000003</v>
      </c>
      <c r="F25" s="79">
        <f t="shared" si="0"/>
        <v>12</v>
      </c>
      <c r="G25" s="75" t="s">
        <v>5</v>
      </c>
      <c r="H25" s="227">
        <v>16</v>
      </c>
      <c r="I25" s="30">
        <f>0.000004*$C$7^2 - 0.0032*$C$7 + 1.8789</f>
        <v>1.3613999999999999</v>
      </c>
      <c r="J25" s="30">
        <f>($B$26*1000/I25/$C$7)^0.5</f>
        <v>26.183368332571664</v>
      </c>
      <c r="K25" s="30">
        <f t="shared" si="2"/>
        <v>52.366736665143328</v>
      </c>
    </row>
    <row r="26" spans="1:11" ht="15" customHeight="1" x14ac:dyDescent="0.2">
      <c r="A26" s="187">
        <v>5</v>
      </c>
      <c r="B26" s="188">
        <v>210</v>
      </c>
      <c r="C26" s="74">
        <v>1.3</v>
      </c>
      <c r="D26" s="231">
        <f t="shared" si="1"/>
        <v>55</v>
      </c>
      <c r="E26" s="56">
        <f>0.013*3.14*D26^2/4</f>
        <v>30.870125000000002</v>
      </c>
      <c r="F26" s="79">
        <f t="shared" si="0"/>
        <v>16</v>
      </c>
      <c r="G26" s="76" t="s">
        <v>5</v>
      </c>
      <c r="H26" s="227">
        <v>16</v>
      </c>
      <c r="I26" s="30">
        <f>0.000003*$C$7^2 - 0.003*$C$7 + 1.9865</f>
        <v>1.4633749999999999</v>
      </c>
      <c r="J26" s="30">
        <f>($B$26*1000/I26/$C$7)^0.5</f>
        <v>25.254604558253394</v>
      </c>
      <c r="K26" s="30">
        <f t="shared" si="2"/>
        <v>50.509209116506788</v>
      </c>
    </row>
    <row r="27" spans="1:11" ht="15" customHeight="1" thickBot="1" x14ac:dyDescent="0.25">
      <c r="A27" s="191"/>
      <c r="B27" s="164"/>
      <c r="C27" s="114">
        <v>1.6</v>
      </c>
      <c r="D27" s="115">
        <f t="shared" si="1"/>
        <v>50</v>
      </c>
      <c r="E27" s="116">
        <f>0.016*3.14*D27^2/4</f>
        <v>31.4</v>
      </c>
      <c r="F27" s="119">
        <f t="shared" si="0"/>
        <v>13</v>
      </c>
      <c r="G27" s="109" t="s">
        <v>5</v>
      </c>
      <c r="H27" s="232">
        <v>18</v>
      </c>
      <c r="I27" s="30">
        <f>0.000005*$C$7^2 - 0.0043*$C$7 + 2.269</f>
        <v>1.5546250000000001</v>
      </c>
      <c r="J27" s="30">
        <f>($B$26*1000/I27/$C$7)^0.5</f>
        <v>24.502227315412586</v>
      </c>
      <c r="K27" s="30">
        <f t="shared" si="2"/>
        <v>49.004454630825173</v>
      </c>
    </row>
    <row r="28" spans="1:11" ht="15" customHeight="1" x14ac:dyDescent="0.2">
      <c r="A28" s="187"/>
      <c r="B28" s="188"/>
      <c r="C28" s="74">
        <v>1</v>
      </c>
      <c r="D28" s="107">
        <f t="shared" si="1"/>
        <v>60</v>
      </c>
      <c r="E28" s="56">
        <f>0.01*3.14*D28^2/4</f>
        <v>28.260000000000005</v>
      </c>
      <c r="F28" s="79">
        <f t="shared" si="0"/>
        <v>15</v>
      </c>
      <c r="G28" s="75" t="s">
        <v>5</v>
      </c>
      <c r="H28" s="227">
        <v>16</v>
      </c>
      <c r="I28" s="30">
        <f>0.000004*$C$7^2 - 0.0032*$C$7 + 1.8789</f>
        <v>1.3613999999999999</v>
      </c>
      <c r="J28" s="30">
        <f>($B$29*1000/I28/$C$7)^0.5</f>
        <v>27.991198152054189</v>
      </c>
      <c r="K28" s="30">
        <f t="shared" si="2"/>
        <v>55.982396304108377</v>
      </c>
    </row>
    <row r="29" spans="1:11" ht="15" customHeight="1" x14ac:dyDescent="0.2">
      <c r="A29" s="187">
        <v>6</v>
      </c>
      <c r="B29" s="188">
        <v>240</v>
      </c>
      <c r="C29" s="74">
        <v>1.3</v>
      </c>
      <c r="D29" s="231">
        <f t="shared" si="1"/>
        <v>55</v>
      </c>
      <c r="E29" s="56">
        <f>0.013*3.14*D29^2/4</f>
        <v>30.870125000000002</v>
      </c>
      <c r="F29" s="79">
        <f t="shared" si="0"/>
        <v>16</v>
      </c>
      <c r="G29" s="76" t="s">
        <v>5</v>
      </c>
      <c r="H29" s="227">
        <v>16</v>
      </c>
      <c r="I29" s="30">
        <f>0.000003*$C$7^2 - 0.003*$C$7 + 1.9865</f>
        <v>1.4633749999999999</v>
      </c>
      <c r="J29" s="30">
        <f>($B$29*1000/I29/$C$7)^0.5</f>
        <v>26.998307912983904</v>
      </c>
      <c r="K29" s="30">
        <f t="shared" si="2"/>
        <v>53.996615825967808</v>
      </c>
    </row>
    <row r="30" spans="1:11" ht="15" customHeight="1" thickBot="1" x14ac:dyDescent="0.25">
      <c r="A30" s="191"/>
      <c r="B30" s="164"/>
      <c r="C30" s="114">
        <v>1.6</v>
      </c>
      <c r="D30" s="115">
        <f t="shared" si="1"/>
        <v>55</v>
      </c>
      <c r="E30" s="116">
        <f>0.016*3.14*D30^2/4</f>
        <v>37.994</v>
      </c>
      <c r="F30" s="119">
        <f t="shared" si="0"/>
        <v>15</v>
      </c>
      <c r="G30" s="109" t="s">
        <v>5</v>
      </c>
      <c r="H30" s="232">
        <v>18</v>
      </c>
      <c r="I30" s="30">
        <f>0.000005*$C$7^2 - 0.0043*$C$7 + 2.269</f>
        <v>1.5546250000000001</v>
      </c>
      <c r="J30" s="30">
        <f>($B$29*1000/I30/$C$7)^0.5</f>
        <v>26.193982807750782</v>
      </c>
      <c r="K30" s="30">
        <f t="shared" si="2"/>
        <v>52.387965615501564</v>
      </c>
    </row>
    <row r="31" spans="1:11" ht="15" customHeight="1" x14ac:dyDescent="0.2">
      <c r="A31" s="187"/>
      <c r="B31" s="188"/>
      <c r="C31" s="74">
        <v>1</v>
      </c>
      <c r="D31" s="107">
        <f t="shared" si="1"/>
        <v>60</v>
      </c>
      <c r="E31" s="56">
        <f>0.01*3.14*D31^2/4</f>
        <v>28.260000000000005</v>
      </c>
      <c r="F31" s="79">
        <f t="shared" si="0"/>
        <v>15</v>
      </c>
      <c r="G31" s="75" t="s">
        <v>5</v>
      </c>
      <c r="H31" s="227">
        <v>16</v>
      </c>
      <c r="I31" s="30">
        <f>0.000004*$C$7^2 - 0.0032*$C$7 + 1.8789</f>
        <v>1.3613999999999999</v>
      </c>
      <c r="J31" s="30">
        <f>($B$32*1000/I31/$C$7)^0.5</f>
        <v>29.689149040280814</v>
      </c>
      <c r="K31" s="30">
        <f t="shared" si="2"/>
        <v>59.378298080561628</v>
      </c>
    </row>
    <row r="32" spans="1:11" ht="15" customHeight="1" x14ac:dyDescent="0.2">
      <c r="A32" s="187">
        <v>7</v>
      </c>
      <c r="B32" s="188">
        <v>270</v>
      </c>
      <c r="C32" s="74">
        <v>1.3</v>
      </c>
      <c r="D32" s="231">
        <f t="shared" si="1"/>
        <v>60</v>
      </c>
      <c r="E32" s="56">
        <f>0.013*3.14*D32^2/4</f>
        <v>36.738</v>
      </c>
      <c r="F32" s="79">
        <f t="shared" si="0"/>
        <v>19</v>
      </c>
      <c r="G32" s="76" t="s">
        <v>5</v>
      </c>
      <c r="H32" s="227">
        <v>16</v>
      </c>
      <c r="I32" s="30">
        <f>0.000003*$C$7^2 - 0.003*$C$7 + 1.9865</f>
        <v>1.4633749999999999</v>
      </c>
      <c r="J32" s="30">
        <f>($B$32*1000/I32/$C$7)^0.5</f>
        <v>28.636029908750015</v>
      </c>
      <c r="K32" s="30">
        <f t="shared" si="2"/>
        <v>57.272059817500029</v>
      </c>
    </row>
    <row r="33" spans="1:11" ht="15" customHeight="1" thickBot="1" x14ac:dyDescent="0.25">
      <c r="A33" s="191"/>
      <c r="B33" s="164"/>
      <c r="C33" s="114">
        <v>1.6</v>
      </c>
      <c r="D33" s="115">
        <f t="shared" si="1"/>
        <v>60</v>
      </c>
      <c r="E33" s="116">
        <f>0.016*3.14*D33^2/4</f>
        <v>45.216000000000001</v>
      </c>
      <c r="F33" s="119">
        <f t="shared" si="0"/>
        <v>18</v>
      </c>
      <c r="G33" s="109" t="s">
        <v>5</v>
      </c>
      <c r="H33" s="232">
        <v>18</v>
      </c>
      <c r="I33" s="30">
        <f>0.000005*$C$7^2 - 0.0043*$C$7 + 2.269</f>
        <v>1.5546250000000001</v>
      </c>
      <c r="J33" s="30">
        <f>($B$32*1000/I33/$C$7)^0.5</f>
        <v>27.782914304466633</v>
      </c>
      <c r="K33" s="30">
        <f t="shared" si="2"/>
        <v>55.565828608933266</v>
      </c>
    </row>
    <row r="34" spans="1:11" ht="15" customHeight="1" x14ac:dyDescent="0.2">
      <c r="A34" s="187"/>
      <c r="B34" s="188"/>
      <c r="C34" s="74">
        <v>1</v>
      </c>
      <c r="D34" s="107">
        <f t="shared" si="1"/>
        <v>65</v>
      </c>
      <c r="E34" s="56">
        <f>0.01*3.14*D34^2/4</f>
        <v>33.166250000000005</v>
      </c>
      <c r="F34" s="79">
        <f t="shared" si="0"/>
        <v>17</v>
      </c>
      <c r="G34" s="75" t="s">
        <v>5</v>
      </c>
      <c r="H34" s="227">
        <v>16</v>
      </c>
      <c r="I34" s="30">
        <f>0.000004*$C$7^2 - 0.0032*$C$7 + 1.8789</f>
        <v>1.3613999999999999</v>
      </c>
      <c r="J34" s="30">
        <f>($B$35*1000/I34/$C$7)^0.5</f>
        <v>31.295110919829831</v>
      </c>
      <c r="K34" s="30">
        <f t="shared" si="2"/>
        <v>62.590221839659662</v>
      </c>
    </row>
    <row r="35" spans="1:11" ht="15" customHeight="1" x14ac:dyDescent="0.2">
      <c r="A35" s="187">
        <v>8</v>
      </c>
      <c r="B35" s="188">
        <v>300</v>
      </c>
      <c r="C35" s="74">
        <v>1.3</v>
      </c>
      <c r="D35" s="231">
        <f t="shared" si="1"/>
        <v>65</v>
      </c>
      <c r="E35" s="56">
        <f>0.013*3.14*D35^2/4</f>
        <v>43.116125000000004</v>
      </c>
      <c r="F35" s="79">
        <f t="shared" si="0"/>
        <v>22</v>
      </c>
      <c r="G35" s="76" t="s">
        <v>5</v>
      </c>
      <c r="H35" s="227">
        <v>16</v>
      </c>
      <c r="I35" s="30">
        <f>0.000003*$C$7^2 - 0.003*$C$7 + 1.9865</f>
        <v>1.4633749999999999</v>
      </c>
      <c r="J35" s="30">
        <f>($B$35*1000/I35/$C$7)^0.5</f>
        <v>30.185025885451243</v>
      </c>
      <c r="K35" s="30">
        <f t="shared" si="2"/>
        <v>60.370051770902485</v>
      </c>
    </row>
    <row r="36" spans="1:11" ht="15" customHeight="1" thickBot="1" x14ac:dyDescent="0.25">
      <c r="A36" s="191"/>
      <c r="B36" s="164"/>
      <c r="C36" s="114">
        <v>1.6</v>
      </c>
      <c r="D36" s="115">
        <f t="shared" si="1"/>
        <v>60</v>
      </c>
      <c r="E36" s="116">
        <f>0.016*3.14*D36^2/4</f>
        <v>45.216000000000001</v>
      </c>
      <c r="F36" s="119">
        <f t="shared" si="0"/>
        <v>18</v>
      </c>
      <c r="G36" s="109" t="s">
        <v>5</v>
      </c>
      <c r="H36" s="232">
        <v>18</v>
      </c>
      <c r="I36" s="30">
        <f>0.000005*$C$7^2 - 0.0043*$C$7 + 2.269</f>
        <v>1.5546250000000001</v>
      </c>
      <c r="J36" s="30">
        <f>($B$35*1000/I36/$C$7)^0.5</f>
        <v>29.285763079795782</v>
      </c>
      <c r="K36" s="30">
        <f t="shared" si="2"/>
        <v>58.571526159591563</v>
      </c>
    </row>
    <row r="37" spans="1:11" ht="15" customHeight="1" x14ac:dyDescent="0.2">
      <c r="A37" s="187"/>
      <c r="B37" s="188"/>
      <c r="C37" s="74">
        <v>1</v>
      </c>
      <c r="D37" s="107">
        <f t="shared" si="1"/>
        <v>70</v>
      </c>
      <c r="E37" s="56">
        <f>0.01*3.14*D37^2/4</f>
        <v>38.465000000000003</v>
      </c>
      <c r="F37" s="79">
        <f t="shared" si="0"/>
        <v>20</v>
      </c>
      <c r="G37" s="75" t="s">
        <v>5</v>
      </c>
      <c r="H37" s="227">
        <v>16</v>
      </c>
      <c r="I37" s="30">
        <f>0.000004*$C$7^2 - 0.0032*$C$7 + 1.8789</f>
        <v>1.3613999999999999</v>
      </c>
      <c r="J37" s="30">
        <f>($B$38*1000/I37/$C$7)^0.5</f>
        <v>32.822589237183855</v>
      </c>
      <c r="K37" s="30">
        <f t="shared" si="2"/>
        <v>65.645178474367711</v>
      </c>
    </row>
    <row r="38" spans="1:11" ht="15" customHeight="1" x14ac:dyDescent="0.2">
      <c r="A38" s="187">
        <v>9</v>
      </c>
      <c r="B38" s="188">
        <v>330</v>
      </c>
      <c r="C38" s="74">
        <v>1.3</v>
      </c>
      <c r="D38" s="231">
        <f t="shared" si="1"/>
        <v>65</v>
      </c>
      <c r="E38" s="56">
        <f>0.013*3.14*D38^2/4</f>
        <v>43.116125000000004</v>
      </c>
      <c r="F38" s="79">
        <f t="shared" si="0"/>
        <v>22</v>
      </c>
      <c r="G38" s="76" t="s">
        <v>5</v>
      </c>
      <c r="H38" s="227">
        <v>16</v>
      </c>
      <c r="I38" s="30">
        <f>0.000003*$C$7^2 - 0.003*$C$7 + 1.9865</f>
        <v>1.4633749999999999</v>
      </c>
      <c r="J38" s="30">
        <f>($B$38*1000/I38/$C$7)^0.5</f>
        <v>31.658322230906325</v>
      </c>
      <c r="K38" s="30">
        <f t="shared" si="2"/>
        <v>63.31664446181265</v>
      </c>
    </row>
    <row r="39" spans="1:11" ht="15" customHeight="1" thickBot="1" x14ac:dyDescent="0.25">
      <c r="A39" s="191"/>
      <c r="B39" s="164"/>
      <c r="C39" s="114">
        <v>1.6</v>
      </c>
      <c r="D39" s="115">
        <f t="shared" si="1"/>
        <v>65</v>
      </c>
      <c r="E39" s="116">
        <f>0.016*3.14*D39^2/4</f>
        <v>53.066000000000003</v>
      </c>
      <c r="F39" s="119">
        <f t="shared" si="0"/>
        <v>21</v>
      </c>
      <c r="G39" s="109" t="s">
        <v>5</v>
      </c>
      <c r="H39" s="232">
        <v>18</v>
      </c>
      <c r="I39" s="30">
        <f>0.000005*$C$7^2 - 0.0043*$C$7 + 2.269</f>
        <v>1.5546250000000001</v>
      </c>
      <c r="J39" s="30">
        <f>($B$38*1000/I39/$C$7)^0.5</f>
        <v>30.715167443504559</v>
      </c>
      <c r="K39" s="30">
        <f t="shared" si="2"/>
        <v>61.430334887009117</v>
      </c>
    </row>
    <row r="40" spans="1:11" ht="15" customHeight="1" x14ac:dyDescent="0.2">
      <c r="A40" s="187"/>
      <c r="B40" s="188"/>
      <c r="C40" s="74">
        <v>1</v>
      </c>
      <c r="D40" s="107">
        <f t="shared" si="1"/>
        <v>70</v>
      </c>
      <c r="E40" s="56">
        <f>0.01*3.14*D40^2/4</f>
        <v>38.465000000000003</v>
      </c>
      <c r="F40" s="79">
        <f t="shared" si="0"/>
        <v>20</v>
      </c>
      <c r="G40" s="75" t="s">
        <v>5</v>
      </c>
      <c r="H40" s="227">
        <v>16</v>
      </c>
      <c r="I40" s="30">
        <f>0.000004*$C$7^2 - 0.0032*$C$7 + 1.8789</f>
        <v>1.3613999999999999</v>
      </c>
      <c r="J40" s="30">
        <f>($B$41*1000/I40/$C$7)^0.5</f>
        <v>34.282076380834091</v>
      </c>
      <c r="K40" s="30">
        <f t="shared" si="2"/>
        <v>68.564152761668183</v>
      </c>
    </row>
    <row r="41" spans="1:11" ht="15" customHeight="1" x14ac:dyDescent="0.2">
      <c r="A41" s="187">
        <v>10</v>
      </c>
      <c r="B41" s="188">
        <v>360</v>
      </c>
      <c r="C41" s="74">
        <v>1.3</v>
      </c>
      <c r="D41" s="231">
        <f t="shared" si="1"/>
        <v>70</v>
      </c>
      <c r="E41" s="56">
        <f>0.013*3.14*D41^2/4</f>
        <v>50.0045</v>
      </c>
      <c r="F41" s="79">
        <f t="shared" si="0"/>
        <v>25</v>
      </c>
      <c r="G41" s="76" t="s">
        <v>5</v>
      </c>
      <c r="H41" s="227">
        <v>16</v>
      </c>
      <c r="I41" s="30">
        <f>0.000003*$C$7^2 - 0.003*$C$7 + 1.9865</f>
        <v>1.4633749999999999</v>
      </c>
      <c r="J41" s="30">
        <f>($B$41*1000/I41/$C$7)^0.5</f>
        <v>33.066039152677988</v>
      </c>
      <c r="K41" s="30">
        <f t="shared" si="2"/>
        <v>66.132078305355975</v>
      </c>
    </row>
    <row r="42" spans="1:11" ht="15" customHeight="1" thickBot="1" x14ac:dyDescent="0.25">
      <c r="A42" s="191"/>
      <c r="B42" s="164"/>
      <c r="C42" s="114">
        <v>1.6</v>
      </c>
      <c r="D42" s="115">
        <f t="shared" si="1"/>
        <v>65</v>
      </c>
      <c r="E42" s="116">
        <f>0.016*3.14*D42^2/4</f>
        <v>53.066000000000003</v>
      </c>
      <c r="F42" s="119">
        <f t="shared" si="0"/>
        <v>21</v>
      </c>
      <c r="G42" s="109" t="s">
        <v>5</v>
      </c>
      <c r="H42" s="232">
        <v>18</v>
      </c>
      <c r="I42" s="30">
        <f>0.000005*$C$7^2 - 0.0043*$C$7 + 2.269</f>
        <v>1.5546250000000001</v>
      </c>
      <c r="J42" s="30">
        <f>($B$41*1000/I42/$C$7)^0.5</f>
        <v>32.080946105112226</v>
      </c>
      <c r="K42" s="30">
        <f t="shared" si="2"/>
        <v>64.161892210224451</v>
      </c>
    </row>
    <row r="43" spans="1:11" ht="15" customHeight="1" x14ac:dyDescent="0.2">
      <c r="A43" s="187"/>
      <c r="B43" s="188"/>
      <c r="C43" s="74">
        <v>1</v>
      </c>
      <c r="D43" s="107">
        <f t="shared" si="1"/>
        <v>75</v>
      </c>
      <c r="E43" s="56">
        <f>0.01*3.14*D43^2/4</f>
        <v>44.156250000000007</v>
      </c>
      <c r="F43" s="79">
        <f t="shared" si="0"/>
        <v>22</v>
      </c>
      <c r="G43" s="75" t="s">
        <v>5</v>
      </c>
      <c r="H43" s="227">
        <v>16</v>
      </c>
      <c r="I43" s="30">
        <f>0.000004*$C$7^2 - 0.0032*$C$7 + 1.8789</f>
        <v>1.3613999999999999</v>
      </c>
      <c r="J43" s="30">
        <f>($B$44*1000/I43/$C$7)^0.5</f>
        <v>35.681916396541652</v>
      </c>
      <c r="K43" s="30">
        <f t="shared" si="2"/>
        <v>71.363832793083304</v>
      </c>
    </row>
    <row r="44" spans="1:11" ht="15" customHeight="1" x14ac:dyDescent="0.2">
      <c r="A44" s="187">
        <v>11</v>
      </c>
      <c r="B44" s="188">
        <v>390</v>
      </c>
      <c r="C44" s="74">
        <v>1.3</v>
      </c>
      <c r="D44" s="231">
        <f t="shared" si="1"/>
        <v>70</v>
      </c>
      <c r="E44" s="56">
        <f>0.013*3.14*D44^2/4</f>
        <v>50.0045</v>
      </c>
      <c r="F44" s="79">
        <f t="shared" si="0"/>
        <v>25</v>
      </c>
      <c r="G44" s="76" t="s">
        <v>5</v>
      </c>
      <c r="H44" s="227">
        <v>16</v>
      </c>
      <c r="I44" s="30">
        <f>0.000003*$C$7^2 - 0.003*$C$7 + 1.9865</f>
        <v>1.4633749999999999</v>
      </c>
      <c r="J44" s="30">
        <f>($B$44*1000/I44/$C$7)^0.5</f>
        <v>34.416224720572856</v>
      </c>
      <c r="K44" s="30">
        <f t="shared" si="2"/>
        <v>68.832449441145712</v>
      </c>
    </row>
    <row r="45" spans="1:11" ht="15" customHeight="1" thickBot="1" x14ac:dyDescent="0.25">
      <c r="A45" s="113"/>
      <c r="B45" s="46"/>
      <c r="C45" s="114">
        <v>1.6</v>
      </c>
      <c r="D45" s="115">
        <f t="shared" si="1"/>
        <v>70</v>
      </c>
      <c r="E45" s="116">
        <f>0.016*3.14*D45^2/4</f>
        <v>61.543999999999997</v>
      </c>
      <c r="F45" s="119">
        <f t="shared" si="0"/>
        <v>25</v>
      </c>
      <c r="G45" s="109" t="s">
        <v>5</v>
      </c>
      <c r="H45" s="232">
        <v>18</v>
      </c>
      <c r="I45" s="30">
        <f>0.000005*$C$7^2 - 0.0043*$C$7 + 2.269</f>
        <v>1.5546250000000001</v>
      </c>
      <c r="J45" s="30">
        <f>($B$44*1000/I45/$C$7)^0.5</f>
        <v>33.390907368858791</v>
      </c>
      <c r="K45" s="30">
        <f t="shared" si="2"/>
        <v>66.781814737717582</v>
      </c>
    </row>
  </sheetData>
  <sheetProtection sheet="1" objects="1" scenarios="1"/>
  <mergeCells count="3">
    <mergeCell ref="C4:L4"/>
    <mergeCell ref="A11:A12"/>
    <mergeCell ref="F11:H12"/>
  </mergeCells>
  <phoneticPr fontId="0" type="noConversion"/>
  <pageMargins left="0.75" right="0.75" top="1" bottom="1" header="0.5" footer="0.5"/>
  <pageSetup paperSize="9" orientation="portrait" r:id="rId1"/>
  <headerFooter alignWithMargins="0">
    <oddHeader>&amp;R&amp;"Arial,Bold Italic"&amp;9Concrete design using the ultimate limit design method.</oddHeader>
    <oddFooter>&amp;L&amp;"Arial,Bold Italic"&amp;9By: Eng. Mahmoud El-Kateb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workbookViewId="0">
      <selection activeCell="C4" sqref="C4:I4"/>
    </sheetView>
  </sheetViews>
  <sheetFormatPr defaultColWidth="9.140625" defaultRowHeight="12.75" x14ac:dyDescent="0.2"/>
  <cols>
    <col min="1" max="1" width="4.5703125" style="30" customWidth="1"/>
    <col min="2" max="2" width="23.140625" style="30" bestFit="1" customWidth="1"/>
    <col min="3" max="3" width="7.7109375" style="30" customWidth="1"/>
    <col min="4" max="4" width="7.42578125" style="30" customWidth="1"/>
    <col min="5" max="5" width="6.5703125" style="30" customWidth="1"/>
    <col min="6" max="6" width="6.7109375" style="30" customWidth="1"/>
    <col min="7" max="7" width="10.42578125" style="30" bestFit="1" customWidth="1"/>
    <col min="8" max="8" width="6.7109375" style="30" customWidth="1"/>
    <col min="9" max="9" width="7.42578125" style="38" customWidth="1"/>
    <col min="10" max="14" width="9.140625" style="30" hidden="1" customWidth="1"/>
    <col min="15" max="17" width="9.140625" style="30"/>
    <col min="18" max="18" width="10.28515625" style="30" customWidth="1"/>
    <col min="19" max="16384" width="9.140625" style="30"/>
  </cols>
  <sheetData>
    <row r="1" spans="1:17" ht="22.5" x14ac:dyDescent="0.3">
      <c r="A1" s="34" t="s">
        <v>133</v>
      </c>
    </row>
    <row r="2" spans="1:17" ht="12.75" customHeight="1" x14ac:dyDescent="0.3">
      <c r="A2" s="81"/>
    </row>
    <row r="4" spans="1:17" ht="18.75" x14ac:dyDescent="0.3">
      <c r="B4" s="35" t="s">
        <v>33</v>
      </c>
      <c r="C4" s="270"/>
      <c r="D4" s="270"/>
      <c r="E4" s="270"/>
      <c r="F4" s="270"/>
      <c r="G4" s="270"/>
      <c r="H4" s="270"/>
      <c r="I4" s="270"/>
    </row>
    <row r="6" spans="1:17" ht="13.5" thickBot="1" x14ac:dyDescent="0.25">
      <c r="Q6" s="51"/>
    </row>
    <row r="7" spans="1:17" ht="24" customHeight="1" thickTop="1" x14ac:dyDescent="0.3">
      <c r="B7" s="52" t="s">
        <v>34</v>
      </c>
      <c r="C7" s="165">
        <v>225</v>
      </c>
      <c r="D7" s="53" t="s">
        <v>8</v>
      </c>
    </row>
    <row r="8" spans="1:17" ht="24" customHeight="1" x14ac:dyDescent="0.3">
      <c r="B8" s="82" t="s">
        <v>43</v>
      </c>
      <c r="C8" s="182">
        <v>3600</v>
      </c>
      <c r="D8" s="83" t="s">
        <v>8</v>
      </c>
    </row>
    <row r="9" spans="1:17" ht="24" customHeight="1" thickBot="1" x14ac:dyDescent="0.35">
      <c r="B9" s="54" t="s">
        <v>19</v>
      </c>
      <c r="C9" s="200">
        <v>1.5</v>
      </c>
      <c r="D9" s="55" t="s">
        <v>8</v>
      </c>
    </row>
    <row r="10" spans="1:17" ht="22.5" customHeight="1" thickTop="1" x14ac:dyDescent="0.25">
      <c r="B10" s="50"/>
      <c r="C10" s="40"/>
      <c r="D10" s="50"/>
    </row>
    <row r="11" spans="1:17" ht="15" x14ac:dyDescent="0.25">
      <c r="B11" s="50"/>
      <c r="C11" s="40"/>
      <c r="D11" s="50"/>
    </row>
    <row r="12" spans="1:17" s="38" customFormat="1" x14ac:dyDescent="0.2">
      <c r="A12" s="2"/>
      <c r="B12" s="2" t="s">
        <v>24</v>
      </c>
      <c r="C12" s="2"/>
      <c r="D12" s="291" t="s">
        <v>141</v>
      </c>
      <c r="E12" s="294"/>
      <c r="F12" s="2"/>
      <c r="G12" s="2" t="s">
        <v>25</v>
      </c>
    </row>
    <row r="13" spans="1:17" s="38" customFormat="1" ht="15" thickBot="1" x14ac:dyDescent="0.3">
      <c r="A13" s="1" t="s">
        <v>21</v>
      </c>
      <c r="B13" s="1" t="s">
        <v>41</v>
      </c>
      <c r="C13" s="1"/>
      <c r="D13" s="1" t="s">
        <v>3</v>
      </c>
      <c r="E13" s="1" t="s">
        <v>23</v>
      </c>
      <c r="F13" s="1"/>
      <c r="G13" s="1" t="s">
        <v>26</v>
      </c>
    </row>
    <row r="14" spans="1:17" s="38" customFormat="1" x14ac:dyDescent="0.2">
      <c r="A14" s="184" t="s">
        <v>20</v>
      </c>
      <c r="B14" s="170">
        <v>100</v>
      </c>
      <c r="C14" s="170"/>
      <c r="D14" s="170">
        <v>25</v>
      </c>
      <c r="E14" s="170">
        <v>50</v>
      </c>
      <c r="F14" s="170"/>
      <c r="G14" s="170">
        <v>40</v>
      </c>
    </row>
    <row r="15" spans="1:17" s="38" customFormat="1" x14ac:dyDescent="0.2"/>
    <row r="16" spans="1:17" s="38" customFormat="1" x14ac:dyDescent="0.2"/>
    <row r="17" spans="2:14" s="38" customFormat="1" ht="13.5" thickBot="1" x14ac:dyDescent="0.25">
      <c r="B17" s="20" t="s">
        <v>35</v>
      </c>
      <c r="C17" s="21"/>
      <c r="D17" s="21" t="s">
        <v>27</v>
      </c>
      <c r="E17" s="21"/>
      <c r="F17" s="21" t="s">
        <v>28</v>
      </c>
      <c r="G17" s="120"/>
      <c r="H17" s="120"/>
    </row>
    <row r="18" spans="2:14" s="38" customFormat="1" x14ac:dyDescent="0.2">
      <c r="B18" s="120"/>
      <c r="C18" s="120"/>
      <c r="D18" s="121">
        <f>F18-K19</f>
        <v>250</v>
      </c>
      <c r="E18" s="121"/>
      <c r="F18" s="121">
        <f>INT(0.2*L18)*5+5</f>
        <v>275</v>
      </c>
      <c r="G18" s="120"/>
      <c r="H18" s="120"/>
      <c r="J18" s="38">
        <f>B14*1000/C9</f>
        <v>66666.666666666672</v>
      </c>
      <c r="L18" s="38">
        <f>(K19+(K19^2+4*J18)^0.5)/2</f>
        <v>271.00128948743497</v>
      </c>
    </row>
    <row r="19" spans="2:14" s="38" customFormat="1" x14ac:dyDescent="0.2">
      <c r="B19" s="120"/>
      <c r="C19" s="120"/>
      <c r="D19" s="120"/>
      <c r="E19" s="120"/>
      <c r="F19" s="120"/>
      <c r="G19" s="120"/>
      <c r="H19" s="120"/>
      <c r="K19" s="38">
        <f>E14-D14</f>
        <v>25</v>
      </c>
    </row>
    <row r="20" spans="2:14" s="38" customFormat="1" ht="13.5" thickBot="1" x14ac:dyDescent="0.25">
      <c r="B20" s="20" t="s">
        <v>36</v>
      </c>
      <c r="C20" s="21"/>
      <c r="D20" s="21" t="s">
        <v>27</v>
      </c>
      <c r="E20" s="21"/>
      <c r="F20" s="21" t="s">
        <v>28</v>
      </c>
      <c r="G20" s="21"/>
      <c r="H20" s="1" t="s">
        <v>23</v>
      </c>
    </row>
    <row r="21" spans="2:14" s="38" customFormat="1" x14ac:dyDescent="0.2">
      <c r="B21" s="120"/>
      <c r="C21" s="120"/>
      <c r="D21" s="121">
        <f>D18-2*G14</f>
        <v>170</v>
      </c>
      <c r="E21" s="121"/>
      <c r="F21" s="121">
        <f>F18-2*G14</f>
        <v>195</v>
      </c>
      <c r="G21" s="120"/>
      <c r="H21" s="185">
        <v>60</v>
      </c>
    </row>
    <row r="22" spans="2:14" s="38" customFormat="1" x14ac:dyDescent="0.2">
      <c r="B22" s="120"/>
      <c r="C22" s="120"/>
      <c r="D22" s="120"/>
      <c r="E22" s="120"/>
      <c r="F22" s="120"/>
      <c r="G22" s="120"/>
      <c r="H22" s="120"/>
    </row>
    <row r="23" spans="2:14" s="38" customFormat="1" x14ac:dyDescent="0.2">
      <c r="B23" s="120"/>
      <c r="C23" s="120"/>
      <c r="D23" s="120"/>
      <c r="E23" s="120"/>
      <c r="F23" s="120"/>
      <c r="G23" s="120"/>
      <c r="H23" s="120"/>
    </row>
    <row r="24" spans="2:14" s="38" customFormat="1" ht="16.5" customHeight="1" thickBot="1" x14ac:dyDescent="0.25">
      <c r="B24" s="20" t="s">
        <v>158</v>
      </c>
      <c r="C24" s="23"/>
      <c r="D24" s="21" t="s">
        <v>13</v>
      </c>
      <c r="E24" s="120"/>
      <c r="F24" s="120"/>
      <c r="G24" s="120"/>
      <c r="H24" s="120"/>
    </row>
    <row r="25" spans="2:14" s="38" customFormat="1" x14ac:dyDescent="0.2">
      <c r="B25" s="122">
        <f>J25*K25/(H21-5)</f>
        <v>3.7844508432743726</v>
      </c>
      <c r="C25" s="120"/>
      <c r="D25" s="92" t="str">
        <f>IF(M25,"unsafe","safe")</f>
        <v>safe</v>
      </c>
      <c r="E25" s="120"/>
      <c r="F25" s="120"/>
      <c r="G25" s="120"/>
      <c r="H25" s="120"/>
      <c r="J25" s="38">
        <f>B14*1000*1.5/D21/F21</f>
        <v>4.5248868778280542</v>
      </c>
      <c r="K25" s="38">
        <f>0.5*(F21-E14)-0.5*(H21-7)</f>
        <v>46</v>
      </c>
      <c r="L25" s="38">
        <f>0.49*(C7/1.5)^0.5</f>
        <v>6.0012498698187864</v>
      </c>
      <c r="M25" s="38" t="b">
        <f>B25&gt;L25</f>
        <v>0</v>
      </c>
    </row>
    <row r="26" spans="2:14" s="38" customFormat="1" x14ac:dyDescent="0.2">
      <c r="B26" s="120"/>
      <c r="C26" s="120"/>
      <c r="D26" s="120"/>
      <c r="E26" s="120"/>
      <c r="F26" s="120"/>
      <c r="G26" s="120"/>
      <c r="H26" s="120"/>
    </row>
    <row r="27" spans="2:14" ht="16.5" customHeight="1" thickBot="1" x14ac:dyDescent="0.25">
      <c r="B27" s="20" t="s">
        <v>159</v>
      </c>
      <c r="C27" s="23"/>
      <c r="D27" s="21" t="s">
        <v>13</v>
      </c>
      <c r="E27" s="120"/>
      <c r="F27" s="123"/>
      <c r="G27" s="123"/>
      <c r="H27" s="123"/>
    </row>
    <row r="28" spans="2:14" x14ac:dyDescent="0.2">
      <c r="B28" s="122">
        <f>J28/2/(H21-5)/(D14+E14+2*(H21-5))</f>
        <v>5.5499349616996678</v>
      </c>
      <c r="C28" s="123"/>
      <c r="D28" s="92" t="str">
        <f>IF(N28,"unsafe","safe")</f>
        <v>safe</v>
      </c>
      <c r="E28" s="123"/>
      <c r="F28" s="123"/>
      <c r="G28" s="123"/>
      <c r="H28" s="123"/>
      <c r="J28" s="30">
        <f>B14*1000*1.5-J25*(D14+H21-7)*(E14+H21-5)</f>
        <v>112941.17647058824</v>
      </c>
      <c r="K28" s="30">
        <f>(0.5+D14/E14)*(C7/1.5)^0.5</f>
        <v>12.24744871391589</v>
      </c>
      <c r="L28" s="30">
        <f>(C7/1.5)^0.5</f>
        <v>12.24744871391589</v>
      </c>
      <c r="M28" s="30">
        <f>MIN(K28:L28)</f>
        <v>12.24744871391589</v>
      </c>
      <c r="N28" s="30" t="b">
        <f>B28&gt;M28</f>
        <v>0</v>
      </c>
    </row>
    <row r="29" spans="2:14" x14ac:dyDescent="0.2">
      <c r="B29" s="123"/>
      <c r="C29" s="123"/>
      <c r="D29" s="123"/>
      <c r="E29" s="123"/>
      <c r="F29" s="123"/>
      <c r="G29" s="123"/>
      <c r="H29" s="123"/>
    </row>
    <row r="30" spans="2:14" x14ac:dyDescent="0.2">
      <c r="B30" s="123"/>
      <c r="C30" s="123"/>
      <c r="D30" s="123"/>
      <c r="E30" s="123"/>
      <c r="F30" s="123"/>
      <c r="G30" s="123"/>
      <c r="H30" s="123"/>
      <c r="J30" s="30">
        <f>(F21-E14)/2</f>
        <v>72.5</v>
      </c>
    </row>
    <row r="31" spans="2:14" ht="15" thickBot="1" x14ac:dyDescent="0.3">
      <c r="B31" s="20" t="s">
        <v>37</v>
      </c>
      <c r="C31" s="20"/>
      <c r="D31" s="21" t="s">
        <v>29</v>
      </c>
      <c r="E31" s="21"/>
      <c r="F31" s="21" t="s">
        <v>160</v>
      </c>
      <c r="G31" s="123"/>
      <c r="H31" s="123"/>
      <c r="J31" s="30">
        <f>J25*J30^2/2*100</f>
        <v>1189196.8325791855</v>
      </c>
      <c r="K31" s="39">
        <f>(H21-7)*(C7*100/J31)^0.5</f>
        <v>7.2902136607904859</v>
      </c>
      <c r="L31" s="39">
        <f>0.5*(0.87+(0.7569-3.386/K31^2)^0.5)</f>
        <v>0.85129021453714437</v>
      </c>
      <c r="M31" s="30">
        <v>0.82599999999999996</v>
      </c>
      <c r="N31" s="95">
        <f>MIN(L31:M31)</f>
        <v>0.82599999999999996</v>
      </c>
    </row>
    <row r="32" spans="2:14" ht="14.25" x14ac:dyDescent="0.2">
      <c r="B32" s="123"/>
      <c r="C32" s="123"/>
      <c r="D32" s="84">
        <f>J31/N31/(H21-5)/C8</f>
        <v>7.2712404467140255</v>
      </c>
      <c r="E32" s="124"/>
      <c r="F32" s="84">
        <f>0.15*(H21-5)</f>
        <v>8.25</v>
      </c>
      <c r="G32" s="68" t="s">
        <v>181</v>
      </c>
      <c r="H32" s="123"/>
    </row>
    <row r="33" spans="2:10" x14ac:dyDescent="0.2">
      <c r="B33" s="123"/>
      <c r="C33" s="123"/>
      <c r="D33" s="123"/>
      <c r="E33" s="123"/>
      <c r="F33" s="123"/>
      <c r="G33" s="123"/>
      <c r="H33" s="123"/>
      <c r="J33" s="96">
        <f>MAX(D32:F32)</f>
        <v>8.25</v>
      </c>
    </row>
    <row r="34" spans="2:10" ht="13.5" thickBot="1" x14ac:dyDescent="0.25">
      <c r="B34" s="20" t="s">
        <v>38</v>
      </c>
      <c r="C34" s="20"/>
      <c r="D34" s="21" t="s">
        <v>30</v>
      </c>
      <c r="E34" s="5" t="s">
        <v>5</v>
      </c>
      <c r="F34" s="20"/>
      <c r="G34" s="21" t="s">
        <v>32</v>
      </c>
      <c r="H34" s="123"/>
    </row>
    <row r="35" spans="2:10" x14ac:dyDescent="0.2">
      <c r="B35" s="125"/>
      <c r="C35" s="125"/>
      <c r="D35" s="126">
        <f>INT(J33/J35+1)</f>
        <v>5</v>
      </c>
      <c r="E35" s="201">
        <v>16</v>
      </c>
      <c r="F35" s="127" t="s">
        <v>31</v>
      </c>
      <c r="G35" s="121">
        <f>INT(D35*D21/100+2)</f>
        <v>10</v>
      </c>
      <c r="H35" s="123"/>
      <c r="J35" s="30">
        <f>3.14/4*E35^2/100</f>
        <v>2.0096000000000003</v>
      </c>
    </row>
    <row r="36" spans="2:10" x14ac:dyDescent="0.2">
      <c r="B36" s="120"/>
      <c r="C36" s="120"/>
      <c r="D36" s="120"/>
      <c r="E36" s="94"/>
      <c r="F36" s="120"/>
      <c r="G36" s="123"/>
      <c r="H36" s="123"/>
    </row>
    <row r="37" spans="2:10" ht="13.5" thickBot="1" x14ac:dyDescent="0.25">
      <c r="B37" s="20" t="s">
        <v>39</v>
      </c>
      <c r="C37" s="20"/>
      <c r="D37" s="21" t="s">
        <v>30</v>
      </c>
      <c r="E37" s="5" t="s">
        <v>5</v>
      </c>
      <c r="F37" s="20"/>
      <c r="G37" s="21" t="s">
        <v>32</v>
      </c>
      <c r="H37" s="123"/>
    </row>
    <row r="38" spans="2:10" x14ac:dyDescent="0.2">
      <c r="B38" s="123"/>
      <c r="C38" s="123"/>
      <c r="D38" s="126">
        <f>INT(J33/J38+1)</f>
        <v>5</v>
      </c>
      <c r="E38" s="201">
        <v>16</v>
      </c>
      <c r="F38" s="127" t="s">
        <v>31</v>
      </c>
      <c r="G38" s="121">
        <f>INT(D38*F21/100+2)</f>
        <v>11</v>
      </c>
      <c r="H38" s="123"/>
      <c r="J38" s="30">
        <f>3.14/4*E38^2/100</f>
        <v>2.0096000000000003</v>
      </c>
    </row>
  </sheetData>
  <sheetProtection sheet="1" objects="1" scenarios="1"/>
  <mergeCells count="2">
    <mergeCell ref="D12:E12"/>
    <mergeCell ref="C4:I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&amp;R&amp;"Arial,Bold Italic"&amp;9Concrete design using the ultimate limit design method.</oddHeader>
    <oddFooter>&amp;L&amp;"Arial,Bold Italic"&amp;9By: Eng. Mahmoud El-Kateb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workbookViewId="0">
      <selection activeCell="C4" sqref="C4:I4"/>
    </sheetView>
  </sheetViews>
  <sheetFormatPr defaultColWidth="9.140625" defaultRowHeight="12.75" x14ac:dyDescent="0.2"/>
  <cols>
    <col min="1" max="1" width="4.5703125" style="30" customWidth="1"/>
    <col min="2" max="2" width="23.140625" style="30" bestFit="1" customWidth="1"/>
    <col min="3" max="3" width="7.7109375" style="30" customWidth="1"/>
    <col min="4" max="4" width="7.42578125" style="30" customWidth="1"/>
    <col min="5" max="5" width="6.5703125" style="30" customWidth="1"/>
    <col min="6" max="6" width="6.7109375" style="30" customWidth="1"/>
    <col min="7" max="7" width="10.42578125" style="30" bestFit="1" customWidth="1"/>
    <col min="8" max="8" width="6.7109375" style="30" customWidth="1"/>
    <col min="9" max="9" width="7.42578125" style="38" customWidth="1"/>
    <col min="10" max="14" width="9.140625" style="30" hidden="1" customWidth="1"/>
    <col min="15" max="17" width="9.140625" style="30"/>
    <col min="18" max="18" width="10.28515625" style="30" customWidth="1"/>
    <col min="19" max="16384" width="9.140625" style="30"/>
  </cols>
  <sheetData>
    <row r="1" spans="1:17" ht="22.5" x14ac:dyDescent="0.3">
      <c r="A1" s="34" t="s">
        <v>244</v>
      </c>
    </row>
    <row r="2" spans="1:17" ht="12.75" customHeight="1" x14ac:dyDescent="0.3">
      <c r="A2" s="81"/>
    </row>
    <row r="4" spans="1:17" ht="18.75" x14ac:dyDescent="0.3">
      <c r="B4" s="35" t="s">
        <v>33</v>
      </c>
      <c r="C4" s="270"/>
      <c r="D4" s="270"/>
      <c r="E4" s="270"/>
      <c r="F4" s="270"/>
      <c r="G4" s="270"/>
      <c r="H4" s="270"/>
      <c r="I4" s="270"/>
    </row>
    <row r="6" spans="1:17" ht="13.5" thickBot="1" x14ac:dyDescent="0.25">
      <c r="Q6" s="51"/>
    </row>
    <row r="7" spans="1:17" ht="24" customHeight="1" thickTop="1" x14ac:dyDescent="0.3">
      <c r="B7" s="52" t="s">
        <v>34</v>
      </c>
      <c r="C7" s="165">
        <v>225</v>
      </c>
      <c r="D7" s="53" t="s">
        <v>8</v>
      </c>
    </row>
    <row r="8" spans="1:17" ht="24" customHeight="1" x14ac:dyDescent="0.3">
      <c r="B8" s="82" t="s">
        <v>43</v>
      </c>
      <c r="C8" s="182">
        <v>3600</v>
      </c>
      <c r="D8" s="83" t="s">
        <v>8</v>
      </c>
    </row>
    <row r="9" spans="1:17" ht="24" customHeight="1" thickBot="1" x14ac:dyDescent="0.35">
      <c r="B9" s="54" t="s">
        <v>19</v>
      </c>
      <c r="C9" s="200">
        <v>1.5</v>
      </c>
      <c r="D9" s="55" t="s">
        <v>8</v>
      </c>
    </row>
    <row r="10" spans="1:17" ht="22.5" customHeight="1" thickTop="1" x14ac:dyDescent="0.25">
      <c r="B10" s="50"/>
      <c r="C10" s="40"/>
      <c r="D10" s="50"/>
    </row>
    <row r="11" spans="1:17" ht="15" x14ac:dyDescent="0.25">
      <c r="B11" s="50"/>
      <c r="C11" s="40"/>
      <c r="D11" s="50"/>
    </row>
    <row r="12" spans="1:17" s="38" customFormat="1" x14ac:dyDescent="0.2">
      <c r="A12" s="2"/>
      <c r="B12" s="2" t="s">
        <v>24</v>
      </c>
      <c r="C12" s="2" t="s">
        <v>243</v>
      </c>
      <c r="D12" s="291" t="s">
        <v>141</v>
      </c>
      <c r="E12" s="294"/>
      <c r="F12" s="2"/>
      <c r="G12" s="2" t="s">
        <v>25</v>
      </c>
    </row>
    <row r="13" spans="1:17" s="38" customFormat="1" ht="15" thickBot="1" x14ac:dyDescent="0.3">
      <c r="A13" s="1" t="s">
        <v>21</v>
      </c>
      <c r="B13" s="1" t="s">
        <v>41</v>
      </c>
      <c r="C13" s="1" t="s">
        <v>245</v>
      </c>
      <c r="D13" s="1" t="s">
        <v>3</v>
      </c>
      <c r="E13" s="1" t="s">
        <v>23</v>
      </c>
      <c r="F13" s="1"/>
      <c r="G13" s="1" t="s">
        <v>26</v>
      </c>
    </row>
    <row r="14" spans="1:17" s="38" customFormat="1" x14ac:dyDescent="0.2">
      <c r="A14" s="184" t="s">
        <v>20</v>
      </c>
      <c r="B14" s="170">
        <v>100</v>
      </c>
      <c r="C14" s="170">
        <v>10</v>
      </c>
      <c r="D14" s="170">
        <v>25</v>
      </c>
      <c r="E14" s="170">
        <v>50</v>
      </c>
      <c r="F14" s="170"/>
      <c r="G14" s="170">
        <v>20</v>
      </c>
    </row>
    <row r="15" spans="1:17" s="38" customFormat="1" x14ac:dyDescent="0.2">
      <c r="J15" s="38">
        <f>C14/B14</f>
        <v>0.1</v>
      </c>
    </row>
    <row r="16" spans="1:17" s="38" customFormat="1" x14ac:dyDescent="0.2"/>
    <row r="17" spans="2:14" s="38" customFormat="1" ht="15" thickBot="1" x14ac:dyDescent="0.3">
      <c r="B17" s="20" t="s">
        <v>35</v>
      </c>
      <c r="C17" s="21"/>
      <c r="D17" s="21" t="s">
        <v>27</v>
      </c>
      <c r="E17" s="21"/>
      <c r="F17" s="21" t="s">
        <v>28</v>
      </c>
      <c r="G17" s="21" t="s">
        <v>246</v>
      </c>
      <c r="H17" s="120"/>
    </row>
    <row r="18" spans="2:14" s="38" customFormat="1" x14ac:dyDescent="0.2">
      <c r="B18" s="120"/>
      <c r="C18" s="120"/>
      <c r="D18" s="234">
        <f>F18-K20</f>
        <v>250</v>
      </c>
      <c r="E18" s="234"/>
      <c r="F18" s="234">
        <f>INT(0.2*L19)*5+5</f>
        <v>275</v>
      </c>
      <c r="G18" s="239">
        <f>6*J15*100</f>
        <v>60.000000000000007</v>
      </c>
      <c r="H18" s="120"/>
    </row>
    <row r="19" spans="2:14" s="38" customFormat="1" x14ac:dyDescent="0.2">
      <c r="B19" s="235" t="s">
        <v>247</v>
      </c>
      <c r="C19" s="120"/>
      <c r="D19" s="236">
        <v>250</v>
      </c>
      <c r="E19" s="236"/>
      <c r="F19" s="236">
        <v>275</v>
      </c>
      <c r="G19" s="120"/>
      <c r="H19" s="120"/>
      <c r="J19" s="38">
        <f>B14*1000/C9</f>
        <v>66666.666666666672</v>
      </c>
      <c r="L19" s="38">
        <f>(K20+(K20^2+4*J19)^0.5)/2</f>
        <v>271.00128948743497</v>
      </c>
    </row>
    <row r="20" spans="2:14" s="38" customFormat="1" x14ac:dyDescent="0.2">
      <c r="B20" s="120"/>
      <c r="C20" s="120"/>
      <c r="D20" s="120"/>
      <c r="E20" s="120"/>
      <c r="F20" s="120"/>
      <c r="G20" s="120"/>
      <c r="H20" s="120"/>
      <c r="K20" s="38">
        <f>E14-D14</f>
        <v>25</v>
      </c>
    </row>
    <row r="21" spans="2:14" s="38" customFormat="1" ht="13.5" thickBot="1" x14ac:dyDescent="0.25">
      <c r="B21" s="20" t="s">
        <v>36</v>
      </c>
      <c r="C21" s="21"/>
      <c r="D21" s="21" t="s">
        <v>27</v>
      </c>
      <c r="E21" s="21"/>
      <c r="F21" s="21" t="s">
        <v>28</v>
      </c>
      <c r="G21" s="21"/>
      <c r="H21" s="1" t="s">
        <v>23</v>
      </c>
    </row>
    <row r="22" spans="2:14" s="38" customFormat="1" x14ac:dyDescent="0.2">
      <c r="B22" s="120"/>
      <c r="C22" s="120"/>
      <c r="D22" s="121">
        <f>D19-2*G14</f>
        <v>210</v>
      </c>
      <c r="E22" s="121"/>
      <c r="F22" s="121">
        <f>F19-2*G14</f>
        <v>235</v>
      </c>
      <c r="G22" s="120"/>
      <c r="H22" s="185">
        <v>60</v>
      </c>
    </row>
    <row r="23" spans="2:14" s="38" customFormat="1" x14ac:dyDescent="0.2">
      <c r="B23" s="120"/>
      <c r="C23" s="120"/>
      <c r="D23" s="121"/>
      <c r="E23" s="121"/>
      <c r="F23" s="121"/>
      <c r="G23" s="120"/>
      <c r="H23" s="185"/>
    </row>
    <row r="24" spans="2:14" s="38" customFormat="1" ht="16.5" customHeight="1" thickBot="1" x14ac:dyDescent="0.25">
      <c r="B24" s="240" t="s">
        <v>248</v>
      </c>
      <c r="C24" s="237">
        <f>(1+6*J15*100/F19)*B14*1000/D19/F19</f>
        <v>1.7719008264462812</v>
      </c>
      <c r="D24" s="121"/>
      <c r="E24" s="238" t="str">
        <f>IF(J24,"Unsafe case (2)","Safe case (2)")</f>
        <v>Safe case (2)</v>
      </c>
      <c r="F24" s="121"/>
      <c r="G24" s="120"/>
      <c r="H24" s="185"/>
      <c r="J24" s="38" t="b">
        <f>C24&gt;1.25*C9</f>
        <v>0</v>
      </c>
    </row>
    <row r="25" spans="2:14" s="38" customFormat="1" ht="16.5" customHeight="1" thickBot="1" x14ac:dyDescent="0.25">
      <c r="B25" s="241" t="s">
        <v>249</v>
      </c>
      <c r="C25" s="237">
        <f>(1-6*J15*100/F19)*B14*1000/D19/F19</f>
        <v>1.137190082644628</v>
      </c>
      <c r="D25" s="120"/>
      <c r="E25" s="238" t="str">
        <f>IF(J25,"Tension","No tension")</f>
        <v>No tension</v>
      </c>
      <c r="F25" s="120"/>
      <c r="G25" s="120"/>
      <c r="H25" s="120"/>
      <c r="J25" s="38" t="b">
        <f>C25&lt;0</f>
        <v>0</v>
      </c>
    </row>
    <row r="26" spans="2:14" s="38" customFormat="1" x14ac:dyDescent="0.2">
      <c r="B26" s="120"/>
      <c r="C26" s="120"/>
      <c r="D26" s="120"/>
      <c r="E26" s="120"/>
      <c r="F26" s="120"/>
      <c r="G26" s="120"/>
      <c r="H26" s="120"/>
    </row>
    <row r="27" spans="2:14" s="38" customFormat="1" ht="16.5" customHeight="1" thickBot="1" x14ac:dyDescent="0.25">
      <c r="B27" s="20" t="s">
        <v>158</v>
      </c>
      <c r="C27" s="23"/>
      <c r="D27" s="21" t="s">
        <v>13</v>
      </c>
      <c r="E27" s="120"/>
      <c r="F27" s="120"/>
      <c r="G27" s="120"/>
      <c r="H27" s="120"/>
    </row>
    <row r="28" spans="2:14" s="38" customFormat="1" x14ac:dyDescent="0.2">
      <c r="B28" s="122">
        <f>M29*1.5*K28/(H22-5)</f>
        <v>4.3171276389349442</v>
      </c>
      <c r="C28" s="120"/>
      <c r="D28" s="92" t="str">
        <f>IF(M28,"unsafe","safe")</f>
        <v>safe</v>
      </c>
      <c r="E28" s="120"/>
      <c r="F28" s="120"/>
      <c r="G28" s="120"/>
      <c r="H28" s="120"/>
      <c r="J28" s="38">
        <f>B14*1000*1.5/D22/F22</f>
        <v>3.0395136778115504</v>
      </c>
      <c r="K28" s="38">
        <f>0.5*(F22-E14)-0.5*(H22-7)</f>
        <v>66</v>
      </c>
      <c r="L28" s="38">
        <f>0.49*(C7/1.5)^0.5</f>
        <v>6.0012498698187864</v>
      </c>
      <c r="M28" s="38" t="b">
        <f>B28&gt;L28</f>
        <v>0</v>
      </c>
    </row>
    <row r="29" spans="2:14" s="38" customFormat="1" x14ac:dyDescent="0.2">
      <c r="B29" s="120"/>
      <c r="C29" s="120"/>
      <c r="D29" s="120"/>
      <c r="E29" s="120"/>
      <c r="F29" s="120"/>
      <c r="G29" s="120"/>
      <c r="H29" s="120"/>
      <c r="J29" s="38">
        <f>(1+6*J15*100/F22)*B14*1000/D22/F22</f>
        <v>2.5437064821401623</v>
      </c>
      <c r="K29" s="38">
        <f>(1-6*J15*100/F22)*B14*1000/D22/F22</f>
        <v>1.5089784216085709</v>
      </c>
      <c r="L29" s="38">
        <f>(J29-K29)*(F22-K28)/F22+K29:K30</f>
        <v>2.2531020055653324</v>
      </c>
      <c r="M29" s="38">
        <f>(J29+L29)/2</f>
        <v>2.3984042438527471</v>
      </c>
      <c r="N29" s="38">
        <f>(J29-K29)*(F22-J33)/F22+K29:K30</f>
        <v>2.1364199051224082</v>
      </c>
    </row>
    <row r="30" spans="2:14" ht="16.5" customHeight="1" thickBot="1" x14ac:dyDescent="0.25">
      <c r="B30" s="20" t="s">
        <v>159</v>
      </c>
      <c r="C30" s="23"/>
      <c r="D30" s="21" t="s">
        <v>13</v>
      </c>
      <c r="E30" s="120"/>
      <c r="F30" s="123"/>
      <c r="G30" s="123"/>
      <c r="H30" s="123"/>
      <c r="N30" s="30">
        <f>(N29+J29)/2</f>
        <v>2.340063193631285</v>
      </c>
    </row>
    <row r="31" spans="2:14" x14ac:dyDescent="0.2">
      <c r="B31" s="122">
        <f>J31/2/(H22-5)/(D14+E14+2*(H22-5))</f>
        <v>6.147733807308275</v>
      </c>
      <c r="C31" s="123"/>
      <c r="D31" s="92" t="str">
        <f>IF(N31,"unsafe","safe")</f>
        <v>safe</v>
      </c>
      <c r="E31" s="123"/>
      <c r="F31" s="123"/>
      <c r="G31" s="123"/>
      <c r="H31" s="123"/>
      <c r="J31" s="30">
        <f>B14*1000*1.5-J28*(D14+H22-7)*(E14+H22-5)</f>
        <v>125106.3829787234</v>
      </c>
      <c r="K31" s="30">
        <f>(0.5+D14/E14)*(C7/1.5)^0.5</f>
        <v>12.24744871391589</v>
      </c>
      <c r="L31" s="30">
        <f>(C7/1.5)^0.5</f>
        <v>12.24744871391589</v>
      </c>
      <c r="M31" s="30">
        <f>MIN(K31:L31)</f>
        <v>12.24744871391589</v>
      </c>
      <c r="N31" s="30" t="b">
        <f>B31&gt;M31</f>
        <v>0</v>
      </c>
    </row>
    <row r="32" spans="2:14" x14ac:dyDescent="0.2">
      <c r="B32" s="123"/>
      <c r="C32" s="123"/>
      <c r="D32" s="123"/>
      <c r="E32" s="123"/>
      <c r="F32" s="123"/>
      <c r="G32" s="123"/>
      <c r="H32" s="123"/>
    </row>
    <row r="33" spans="2:14" x14ac:dyDescent="0.2">
      <c r="B33" s="123"/>
      <c r="C33" s="123"/>
      <c r="D33" s="123"/>
      <c r="E33" s="123"/>
      <c r="F33" s="123"/>
      <c r="G33" s="123"/>
      <c r="H33" s="123"/>
      <c r="J33" s="30">
        <f>(F22-E14)/2</f>
        <v>92.5</v>
      </c>
      <c r="K33" s="30">
        <f>(D22-D14)/2</f>
        <v>92.5</v>
      </c>
    </row>
    <row r="34" spans="2:14" ht="15" thickBot="1" x14ac:dyDescent="0.3">
      <c r="B34" s="20" t="s">
        <v>37</v>
      </c>
      <c r="C34" s="20"/>
      <c r="D34" s="21" t="s">
        <v>29</v>
      </c>
      <c r="E34" s="21"/>
      <c r="F34" s="21" t="s">
        <v>160</v>
      </c>
      <c r="G34" s="123"/>
      <c r="H34" s="123"/>
      <c r="J34" s="30">
        <f>N30*1.5*J33^2/2*100</f>
        <v>1501662.4275380762</v>
      </c>
      <c r="K34" s="39">
        <f>(H22-7)*(C7*100/J34)^0.5</f>
        <v>6.4875537845477398</v>
      </c>
      <c r="L34" s="39">
        <f>0.5*(0.87+(0.7569-3.386/K34^2)^0.5)</f>
        <v>0.8462329607916157</v>
      </c>
      <c r="M34" s="30">
        <v>0.82599999999999996</v>
      </c>
      <c r="N34" s="95">
        <f>MIN(L34:M34)</f>
        <v>0.82599999999999996</v>
      </c>
    </row>
    <row r="35" spans="2:14" ht="14.25" x14ac:dyDescent="0.2">
      <c r="B35" s="123"/>
      <c r="C35" s="123"/>
      <c r="D35" s="84">
        <f>J34/N34/(H22-5)/C8</f>
        <v>9.1817841094851449</v>
      </c>
      <c r="E35" s="124"/>
      <c r="F35" s="84">
        <f>0.15*(H22-5)</f>
        <v>8.25</v>
      </c>
      <c r="G35" s="68" t="s">
        <v>181</v>
      </c>
      <c r="H35" s="123"/>
      <c r="J35" s="30">
        <f>J28*K33^2/2*100</f>
        <v>1300341.9452887541</v>
      </c>
      <c r="K35" s="30">
        <f>(H22-7)*(C7*100/J35)^0.5</f>
        <v>6.971694414523343</v>
      </c>
      <c r="L35" s="30">
        <f>0.5*(0.87+(0.7569-3.386/K35^2)^0.5)</f>
        <v>0.84949840213422989</v>
      </c>
      <c r="M35" s="30">
        <v>0.82599999999999996</v>
      </c>
      <c r="N35" s="95">
        <f>MIN(L35:M35)</f>
        <v>0.82599999999999996</v>
      </c>
    </row>
    <row r="36" spans="2:14" x14ac:dyDescent="0.2">
      <c r="B36" s="123"/>
      <c r="C36" s="123"/>
      <c r="D36" s="123"/>
      <c r="E36" s="123"/>
      <c r="F36" s="123"/>
      <c r="G36" s="123"/>
      <c r="H36" s="123"/>
      <c r="J36" s="96">
        <f>MAX(D35:F35)</f>
        <v>9.1817841094851449</v>
      </c>
      <c r="K36" s="30">
        <f>J35/N35/(H22-6)/C8</f>
        <v>8.0980651043301677</v>
      </c>
      <c r="L36" s="96">
        <f>MAX(F35,K36)</f>
        <v>8.25</v>
      </c>
    </row>
    <row r="37" spans="2:14" ht="13.5" thickBot="1" x14ac:dyDescent="0.25">
      <c r="B37" s="20" t="s">
        <v>38</v>
      </c>
      <c r="C37" s="20"/>
      <c r="D37" s="21" t="s">
        <v>30</v>
      </c>
      <c r="E37" s="5" t="s">
        <v>5</v>
      </c>
      <c r="F37" s="20"/>
      <c r="G37" s="21" t="s">
        <v>32</v>
      </c>
      <c r="H37" s="123"/>
    </row>
    <row r="38" spans="2:14" x14ac:dyDescent="0.2">
      <c r="B38" s="125"/>
      <c r="C38" s="125"/>
      <c r="D38" s="126">
        <f>INT(J36/J38+1)</f>
        <v>5</v>
      </c>
      <c r="E38" s="201">
        <v>16</v>
      </c>
      <c r="F38" s="127" t="s">
        <v>31</v>
      </c>
      <c r="G38" s="121">
        <f>INT(D38*D22/100+2)</f>
        <v>12</v>
      </c>
      <c r="H38" s="123"/>
      <c r="J38" s="30">
        <f>3.14/4*E38^2/100</f>
        <v>2.0096000000000003</v>
      </c>
    </row>
    <row r="39" spans="2:14" x14ac:dyDescent="0.2">
      <c r="B39" s="120"/>
      <c r="C39" s="120"/>
      <c r="D39" s="120"/>
      <c r="E39" s="94"/>
      <c r="F39" s="120"/>
      <c r="G39" s="123"/>
      <c r="H39" s="123"/>
    </row>
    <row r="40" spans="2:14" ht="13.5" thickBot="1" x14ac:dyDescent="0.25">
      <c r="B40" s="20" t="s">
        <v>39</v>
      </c>
      <c r="C40" s="20"/>
      <c r="D40" s="21" t="s">
        <v>30</v>
      </c>
      <c r="E40" s="5" t="s">
        <v>5</v>
      </c>
      <c r="F40" s="20"/>
      <c r="G40" s="21" t="s">
        <v>32</v>
      </c>
      <c r="H40" s="123"/>
    </row>
    <row r="41" spans="2:14" x14ac:dyDescent="0.2">
      <c r="B41" s="123"/>
      <c r="C41" s="123"/>
      <c r="D41" s="126">
        <f>INT(L36/J41+1)</f>
        <v>5</v>
      </c>
      <c r="E41" s="201">
        <v>16</v>
      </c>
      <c r="F41" s="127" t="s">
        <v>31</v>
      </c>
      <c r="G41" s="121">
        <f>INT(D41*F22/100+2)</f>
        <v>13</v>
      </c>
      <c r="H41" s="123"/>
      <c r="J41" s="30">
        <f>3.14/4*E41^2/100</f>
        <v>2.0096000000000003</v>
      </c>
    </row>
  </sheetData>
  <sheetProtection sheet="1" objects="1" scenarios="1"/>
  <mergeCells count="2">
    <mergeCell ref="C4:I4"/>
    <mergeCell ref="D12:E12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>
    <oddHeader>&amp;R&amp;"Arial,Bold Italic"&amp;9Concrete design using the ultimate limit design method</oddHeader>
    <oddFooter>&amp;L&amp;"Arial,Bold Italic"&amp;9By: Eng. Mahmoud El-Kateb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workbookViewId="0">
      <selection activeCell="C4" sqref="C4:I4"/>
    </sheetView>
  </sheetViews>
  <sheetFormatPr defaultColWidth="9.140625" defaultRowHeight="12.75" x14ac:dyDescent="0.2"/>
  <cols>
    <col min="1" max="1" width="6.42578125" style="30" customWidth="1"/>
    <col min="2" max="2" width="23.140625" style="30" customWidth="1"/>
    <col min="3" max="3" width="7.7109375" style="30" customWidth="1"/>
    <col min="4" max="4" width="7.42578125" style="30" customWidth="1"/>
    <col min="5" max="5" width="6.5703125" style="30" customWidth="1"/>
    <col min="6" max="6" width="6.7109375" style="30" customWidth="1"/>
    <col min="7" max="7" width="10.42578125" style="30" customWidth="1"/>
    <col min="8" max="9" width="6.7109375" style="30" customWidth="1"/>
    <col min="10" max="10" width="7.42578125" style="38" hidden="1" customWidth="1"/>
    <col min="11" max="16" width="9.140625" style="30" hidden="1" customWidth="1"/>
    <col min="17" max="18" width="9.140625" style="30"/>
    <col min="19" max="19" width="10.28515625" style="30" customWidth="1"/>
    <col min="20" max="16384" width="9.140625" style="30"/>
  </cols>
  <sheetData>
    <row r="1" spans="1:18" ht="22.5" x14ac:dyDescent="0.3">
      <c r="A1" s="34" t="s">
        <v>122</v>
      </c>
    </row>
    <row r="2" spans="1:18" ht="12.75" customHeight="1" x14ac:dyDescent="0.3">
      <c r="A2" s="81"/>
    </row>
    <row r="4" spans="1:18" ht="18.75" x14ac:dyDescent="0.3">
      <c r="B4" s="35" t="s">
        <v>33</v>
      </c>
      <c r="C4" s="270"/>
      <c r="D4" s="270"/>
      <c r="E4" s="270"/>
      <c r="F4" s="270"/>
      <c r="G4" s="270"/>
      <c r="H4" s="270"/>
      <c r="I4" s="270"/>
      <c r="K4" s="38"/>
      <c r="L4" s="38"/>
      <c r="M4" s="38"/>
      <c r="N4" s="38"/>
      <c r="O4" s="38"/>
      <c r="P4" s="38"/>
      <c r="Q4" s="38"/>
    </row>
    <row r="6" spans="1:18" ht="13.5" thickBot="1" x14ac:dyDescent="0.25">
      <c r="R6" s="51"/>
    </row>
    <row r="7" spans="1:18" ht="24" customHeight="1" thickTop="1" x14ac:dyDescent="0.3">
      <c r="B7" s="52" t="s">
        <v>34</v>
      </c>
      <c r="C7" s="165">
        <v>225</v>
      </c>
      <c r="D7" s="53" t="s">
        <v>8</v>
      </c>
    </row>
    <row r="8" spans="1:18" ht="25.5" customHeight="1" x14ac:dyDescent="0.3">
      <c r="B8" s="82" t="s">
        <v>43</v>
      </c>
      <c r="C8" s="182">
        <v>3600</v>
      </c>
      <c r="D8" s="83" t="s">
        <v>8</v>
      </c>
    </row>
    <row r="9" spans="1:18" ht="24" customHeight="1" thickBot="1" x14ac:dyDescent="0.35">
      <c r="B9" s="54" t="s">
        <v>19</v>
      </c>
      <c r="C9" s="200">
        <v>1.5</v>
      </c>
      <c r="D9" s="55" t="s">
        <v>8</v>
      </c>
    </row>
    <row r="10" spans="1:18" ht="22.5" customHeight="1" thickTop="1" x14ac:dyDescent="0.25">
      <c r="B10" s="50"/>
      <c r="C10" s="40"/>
      <c r="D10" s="50"/>
    </row>
    <row r="11" spans="1:18" ht="15" x14ac:dyDescent="0.25">
      <c r="B11" s="50"/>
      <c r="C11" s="40"/>
      <c r="D11" s="50"/>
    </row>
    <row r="12" spans="1:18" s="38" customFormat="1" x14ac:dyDescent="0.2">
      <c r="A12" s="2"/>
      <c r="B12" s="2" t="s">
        <v>24</v>
      </c>
      <c r="C12" s="2"/>
      <c r="D12" s="2" t="s">
        <v>22</v>
      </c>
      <c r="E12" s="3" t="s">
        <v>138</v>
      </c>
      <c r="F12" s="2"/>
      <c r="G12" s="2" t="s">
        <v>25</v>
      </c>
    </row>
    <row r="13" spans="1:18" s="38" customFormat="1" ht="15" thickBot="1" x14ac:dyDescent="0.3">
      <c r="A13" s="1" t="s">
        <v>123</v>
      </c>
      <c r="B13" s="1" t="s">
        <v>41</v>
      </c>
      <c r="C13" s="1"/>
      <c r="D13" s="1" t="s">
        <v>136</v>
      </c>
      <c r="E13" s="1" t="s">
        <v>137</v>
      </c>
      <c r="F13" s="1"/>
      <c r="G13" s="1" t="s">
        <v>26</v>
      </c>
    </row>
    <row r="14" spans="1:18" s="38" customFormat="1" x14ac:dyDescent="0.2">
      <c r="A14" s="184" t="s">
        <v>144</v>
      </c>
      <c r="B14" s="170">
        <v>60</v>
      </c>
      <c r="C14" s="170"/>
      <c r="D14" s="170">
        <v>25</v>
      </c>
      <c r="E14" s="170">
        <v>50</v>
      </c>
      <c r="F14" s="170"/>
      <c r="G14" s="170">
        <v>25</v>
      </c>
    </row>
    <row r="15" spans="1:18" s="38" customFormat="1" x14ac:dyDescent="0.2">
      <c r="A15" s="184" t="s">
        <v>142</v>
      </c>
      <c r="B15" s="170">
        <v>84</v>
      </c>
      <c r="C15" s="170"/>
      <c r="D15" s="170">
        <v>25</v>
      </c>
      <c r="E15" s="170">
        <v>70</v>
      </c>
      <c r="F15" s="170"/>
      <c r="G15" s="170">
        <v>25</v>
      </c>
    </row>
    <row r="16" spans="1:18" s="38" customFormat="1" x14ac:dyDescent="0.2">
      <c r="A16" s="88"/>
    </row>
    <row r="17" spans="1:14" s="38" customFormat="1" ht="13.5" thickBot="1" x14ac:dyDescent="0.25">
      <c r="A17" s="88"/>
      <c r="B17" s="1" t="s">
        <v>124</v>
      </c>
      <c r="C17" s="170">
        <v>2.15</v>
      </c>
      <c r="D17" s="128" t="s">
        <v>125</v>
      </c>
      <c r="J17" s="38">
        <f>B15/(B14+B15)*C17</f>
        <v>1.2541666666666667</v>
      </c>
      <c r="K17" s="38">
        <f>200*J17+E14+2*G14</f>
        <v>350.83333333333337</v>
      </c>
      <c r="L17" s="38">
        <f>(B14+B15)*1000/C9/F23</f>
        <v>270.42253521126759</v>
      </c>
    </row>
    <row r="18" spans="1:14" s="38" customFormat="1" x14ac:dyDescent="0.2">
      <c r="A18" s="88"/>
      <c r="D18" s="128"/>
      <c r="K18" s="38">
        <f>(B14+B15)*1000/C9/F27</f>
        <v>259.45945945945948</v>
      </c>
      <c r="L18" s="38">
        <f>(B14+B15)*1000/C9/F27</f>
        <v>259.45945945945948</v>
      </c>
    </row>
    <row r="19" spans="1:14" s="38" customFormat="1" ht="13.5" thickBot="1" x14ac:dyDescent="0.25">
      <c r="A19" s="88"/>
      <c r="B19" s="21" t="s">
        <v>135</v>
      </c>
      <c r="C19" s="84">
        <f>J17</f>
        <v>1.2541666666666667</v>
      </c>
      <c r="D19" s="128" t="s">
        <v>125</v>
      </c>
      <c r="E19" s="128" t="s">
        <v>143</v>
      </c>
    </row>
    <row r="20" spans="1:14" s="38" customFormat="1" x14ac:dyDescent="0.2">
      <c r="A20" s="88"/>
      <c r="B20" s="129"/>
      <c r="C20" s="129"/>
      <c r="D20" s="128"/>
      <c r="E20" s="128"/>
      <c r="L20" s="38">
        <f>(B14+B15)*1000/C9/F24</f>
        <v>228.57142857142858</v>
      </c>
    </row>
    <row r="21" spans="1:14" s="38" customFormat="1" x14ac:dyDescent="0.2">
      <c r="A21" s="88"/>
    </row>
    <row r="22" spans="1:14" s="38" customFormat="1" ht="13.5" thickBot="1" x14ac:dyDescent="0.25">
      <c r="A22" s="88"/>
      <c r="B22" s="20" t="s">
        <v>35</v>
      </c>
      <c r="C22" s="21"/>
      <c r="D22" s="21" t="s">
        <v>27</v>
      </c>
      <c r="E22" s="21"/>
      <c r="F22" s="21" t="s">
        <v>28</v>
      </c>
      <c r="G22" s="120"/>
      <c r="H22" s="120"/>
      <c r="I22" s="120"/>
    </row>
    <row r="23" spans="1:14" s="38" customFormat="1" x14ac:dyDescent="0.2">
      <c r="A23" s="88"/>
      <c r="B23" s="120" t="s">
        <v>126</v>
      </c>
      <c r="C23" s="120"/>
      <c r="D23" s="121">
        <f>INT(0.2*L17)*5+5</f>
        <v>275</v>
      </c>
      <c r="E23" s="121"/>
      <c r="F23" s="121">
        <f>INT(0.2*K17)*5+5</f>
        <v>355</v>
      </c>
      <c r="G23" s="120"/>
      <c r="H23" s="120"/>
      <c r="I23" s="120"/>
    </row>
    <row r="24" spans="1:14" s="38" customFormat="1" x14ac:dyDescent="0.2">
      <c r="A24" s="88"/>
      <c r="B24" s="91" t="s">
        <v>162</v>
      </c>
      <c r="C24" s="91"/>
      <c r="D24" s="91">
        <f>(INT(0.2*L20)+1)*5</f>
        <v>230</v>
      </c>
      <c r="E24" s="91"/>
      <c r="F24" s="185">
        <v>420</v>
      </c>
      <c r="G24" s="120"/>
      <c r="H24" s="120"/>
      <c r="I24" s="120"/>
    </row>
    <row r="25" spans="1:14" s="38" customFormat="1" x14ac:dyDescent="0.2">
      <c r="A25" s="88"/>
      <c r="B25" s="120"/>
      <c r="C25" s="120"/>
      <c r="D25" s="120"/>
      <c r="E25" s="120"/>
      <c r="F25" s="120"/>
      <c r="G25" s="120"/>
      <c r="H25" s="120"/>
      <c r="I25" s="120"/>
    </row>
    <row r="26" spans="1:14" s="38" customFormat="1" ht="13.5" thickBot="1" x14ac:dyDescent="0.25">
      <c r="B26" s="20" t="s">
        <v>36</v>
      </c>
      <c r="C26" s="21"/>
      <c r="D26" s="21" t="s">
        <v>27</v>
      </c>
      <c r="E26" s="21"/>
      <c r="F26" s="21" t="s">
        <v>28</v>
      </c>
      <c r="G26" s="21"/>
      <c r="H26" s="1" t="s">
        <v>23</v>
      </c>
      <c r="I26" s="120"/>
      <c r="K26" s="38">
        <f>0.5*F27/100-(C17-C19)-0.5*E15/100</f>
        <v>0.60416666666666685</v>
      </c>
      <c r="L26" s="38">
        <f>B14-K29*(E14/100+0.5*K28/100+0.5*K31/100)</f>
        <v>23.708108108108107</v>
      </c>
      <c r="M26" s="38">
        <f>B15-K29*(M29+E15/100+0.5*K28/100+0.5*K31/100)</f>
        <v>16.410810810810801</v>
      </c>
    </row>
    <row r="27" spans="1:14" s="38" customFormat="1" x14ac:dyDescent="0.2">
      <c r="B27" s="120"/>
      <c r="C27" s="120"/>
      <c r="D27" s="121">
        <f>D24-2*G15</f>
        <v>180</v>
      </c>
      <c r="E27" s="121"/>
      <c r="F27" s="121">
        <f>F24-G14-G15</f>
        <v>370</v>
      </c>
      <c r="G27" s="120"/>
      <c r="H27" s="185">
        <v>60</v>
      </c>
      <c r="I27" s="91"/>
      <c r="K27" s="38">
        <f>0.5*F27/100-C19-0.5*E14/100</f>
        <v>0.34583333333333344</v>
      </c>
      <c r="L27" s="38">
        <f>MAX(L26:M26)</f>
        <v>23.708108108108107</v>
      </c>
      <c r="M27" s="38">
        <f>L27*1.5*1000/K31/D27</f>
        <v>3.6586586586586582</v>
      </c>
      <c r="N27" s="38">
        <f>0.49*(C7/1.5)^0.5</f>
        <v>6.0012498698187864</v>
      </c>
    </row>
    <row r="28" spans="1:14" s="38" customFormat="1" x14ac:dyDescent="0.2">
      <c r="B28" s="120"/>
      <c r="C28" s="120"/>
      <c r="D28" s="120"/>
      <c r="E28" s="120"/>
      <c r="F28" s="120"/>
      <c r="G28" s="120"/>
      <c r="H28" s="120"/>
      <c r="I28" s="120"/>
      <c r="K28" s="38">
        <f>(F24-F23)/2</f>
        <v>32.5</v>
      </c>
      <c r="M28" s="38" t="b">
        <f>M27&gt;N27</f>
        <v>0</v>
      </c>
    </row>
    <row r="29" spans="1:14" s="38" customFormat="1" x14ac:dyDescent="0.2">
      <c r="B29" s="120"/>
      <c r="C29" s="120"/>
      <c r="D29" s="120"/>
      <c r="E29" s="120"/>
      <c r="F29" s="120"/>
      <c r="G29" s="120"/>
      <c r="H29" s="120"/>
      <c r="I29" s="120"/>
      <c r="K29" s="38">
        <f>(B14+B15)/F27*100</f>
        <v>38.918918918918919</v>
      </c>
      <c r="L29" s="38">
        <f>K30-K27-0.5*E14/100</f>
        <v>0.9458333333333333</v>
      </c>
      <c r="M29" s="38">
        <f>MAX(K26:K27)</f>
        <v>0.60416666666666685</v>
      </c>
    </row>
    <row r="30" spans="1:14" s="38" customFormat="1" x14ac:dyDescent="0.2">
      <c r="B30" s="120"/>
      <c r="C30" s="120"/>
      <c r="D30" s="120"/>
      <c r="E30" s="120"/>
      <c r="F30" s="120"/>
      <c r="G30" s="120"/>
      <c r="H30" s="120"/>
      <c r="I30" s="120"/>
      <c r="K30" s="38">
        <f>B14/K29</f>
        <v>1.5416666666666667</v>
      </c>
      <c r="L30" s="38">
        <f>B14*L29-K29*K30^2/2</f>
        <v>10.5</v>
      </c>
      <c r="M30" s="38">
        <f>K29*M29^2/2</f>
        <v>7.1030405405405448</v>
      </c>
    </row>
    <row r="31" spans="1:14" s="38" customFormat="1" x14ac:dyDescent="0.2">
      <c r="B31" s="120"/>
      <c r="C31" s="120"/>
      <c r="D31" s="120"/>
      <c r="E31" s="120"/>
      <c r="F31" s="120"/>
      <c r="G31" s="120"/>
      <c r="H31" s="120"/>
      <c r="I31" s="120"/>
      <c r="K31" s="38">
        <f>H27-6</f>
        <v>54</v>
      </c>
      <c r="L31" s="38">
        <f>H27-6</f>
        <v>54</v>
      </c>
    </row>
    <row r="32" spans="1:14" s="38" customFormat="1" ht="13.5" thickBot="1" x14ac:dyDescent="0.25">
      <c r="B32" s="20" t="s">
        <v>127</v>
      </c>
      <c r="C32" s="120"/>
      <c r="D32" s="130" t="str">
        <f>IF(N32,"unsafe bending"," ")</f>
        <v xml:space="preserve"> </v>
      </c>
      <c r="E32" s="92"/>
      <c r="F32" s="130"/>
      <c r="G32" s="130" t="str">
        <f>IF(M28,"unsafe shear"," ")</f>
        <v xml:space="preserve"> </v>
      </c>
      <c r="H32" s="120"/>
      <c r="I32" s="120"/>
      <c r="K32" s="38">
        <f>K31*(C7*D27/M30/1.5/10^5)^0.5</f>
        <v>10.528184696723521</v>
      </c>
      <c r="L32" s="38">
        <f>L31*(C7*D27/L30/1.5/10^5)^0.5</f>
        <v>8.6592642379625495</v>
      </c>
      <c r="M32" s="38">
        <v>2.78</v>
      </c>
      <c r="N32" s="38" t="b">
        <f>L32&lt;M32</f>
        <v>0</v>
      </c>
    </row>
    <row r="33" spans="2:16" x14ac:dyDescent="0.2">
      <c r="B33" s="123"/>
      <c r="C33" s="123"/>
      <c r="D33" s="123"/>
      <c r="E33" s="123"/>
      <c r="F33" s="123"/>
      <c r="G33" s="123"/>
      <c r="H33" s="123"/>
      <c r="I33" s="123"/>
      <c r="J33" s="38">
        <v>0.82599999999999996</v>
      </c>
      <c r="K33" s="30">
        <f>0.5*(0.87+(0.87^2-3.386/K32^2)^0.5)</f>
        <v>0.86113149327833538</v>
      </c>
      <c r="L33" s="30">
        <f>0.5*(0.87+(0.87^2-3.386/L32^2)^0.5)</f>
        <v>0.85682431524747837</v>
      </c>
      <c r="M33" s="30">
        <v>0.82599999999999996</v>
      </c>
      <c r="N33" s="30">
        <f>MIN(L33:M33)</f>
        <v>0.82599999999999996</v>
      </c>
      <c r="O33" s="30">
        <f>MIN(J33:K33)</f>
        <v>0.82599999999999996</v>
      </c>
    </row>
    <row r="34" spans="2:16" ht="13.5" thickBot="1" x14ac:dyDescent="0.25">
      <c r="B34" s="20" t="s">
        <v>128</v>
      </c>
      <c r="C34" s="20"/>
      <c r="D34" s="21" t="s">
        <v>30</v>
      </c>
      <c r="E34" s="5" t="s">
        <v>5</v>
      </c>
      <c r="F34" s="20"/>
      <c r="G34" s="21" t="s">
        <v>32</v>
      </c>
      <c r="H34" s="123"/>
      <c r="I34" s="123"/>
      <c r="J34" s="38">
        <f>0.15/100*D27*K31</f>
        <v>14.580000000000002</v>
      </c>
      <c r="K34" s="30">
        <f>M30*1.5*10^5/K31/O33/C8</f>
        <v>6.6352798520877663</v>
      </c>
      <c r="L34" s="30">
        <f>L30*1.5*10^5/L31/N33/C8</f>
        <v>9.8085373509102318</v>
      </c>
      <c r="M34" s="30">
        <f>0.15/100*D27*L31</f>
        <v>14.580000000000002</v>
      </c>
      <c r="N34" s="30">
        <f>MAX(L34:M34)</f>
        <v>14.580000000000002</v>
      </c>
      <c r="O34" s="30">
        <f>MAX(J34:K34)</f>
        <v>14.580000000000002</v>
      </c>
    </row>
    <row r="35" spans="2:16" x14ac:dyDescent="0.2">
      <c r="B35" s="125"/>
      <c r="C35" s="125"/>
      <c r="D35" s="126">
        <f>INT(L35)+1</f>
        <v>5</v>
      </c>
      <c r="E35" s="201">
        <v>16</v>
      </c>
      <c r="F35" s="127" t="s">
        <v>31</v>
      </c>
      <c r="G35" s="121">
        <f>INT(D35*D27/100)+2</f>
        <v>11</v>
      </c>
      <c r="H35" s="123"/>
      <c r="I35" s="123"/>
      <c r="K35" s="30">
        <f>O34/D27*4/3.14/E38^2*10000</f>
        <v>4.0306528662420389</v>
      </c>
      <c r="L35" s="30">
        <f>N34/D27*4/3.14/E35^2*10000</f>
        <v>4.0306528662420389</v>
      </c>
    </row>
    <row r="36" spans="2:16" x14ac:dyDescent="0.2">
      <c r="B36" s="120"/>
      <c r="C36" s="120"/>
      <c r="D36" s="120"/>
      <c r="E36" s="94"/>
      <c r="F36" s="120"/>
      <c r="G36" s="123"/>
      <c r="H36" s="123"/>
      <c r="I36" s="123"/>
    </row>
    <row r="37" spans="2:16" ht="13.5" thickBot="1" x14ac:dyDescent="0.25">
      <c r="B37" s="20" t="s">
        <v>129</v>
      </c>
      <c r="C37" s="20"/>
      <c r="D37" s="21" t="s">
        <v>30</v>
      </c>
      <c r="E37" s="5" t="s">
        <v>5</v>
      </c>
      <c r="F37" s="20"/>
      <c r="G37" s="21" t="s">
        <v>32</v>
      </c>
      <c r="H37" s="123"/>
      <c r="I37" s="123"/>
      <c r="L37" s="30">
        <f>H27-7</f>
        <v>53</v>
      </c>
      <c r="M37" s="30">
        <f>100*M29</f>
        <v>60.416666666666686</v>
      </c>
      <c r="N37" s="30">
        <f>MIN(L37:M37)</f>
        <v>53</v>
      </c>
    </row>
    <row r="38" spans="2:16" x14ac:dyDescent="0.2">
      <c r="B38" s="123"/>
      <c r="C38" s="123"/>
      <c r="D38" s="126">
        <f>INT(K35)+1</f>
        <v>5</v>
      </c>
      <c r="E38" s="201">
        <v>16</v>
      </c>
      <c r="F38" s="127" t="s">
        <v>31</v>
      </c>
      <c r="G38" s="121">
        <f>INT(D38*D27/100)+2</f>
        <v>11</v>
      </c>
      <c r="H38" s="123"/>
      <c r="I38" s="123"/>
      <c r="K38" s="30">
        <f>B14/D27*100</f>
        <v>33.333333333333329</v>
      </c>
      <c r="M38" s="30">
        <f>B15*100/D27</f>
        <v>46.666666666666664</v>
      </c>
    </row>
    <row r="39" spans="2:16" x14ac:dyDescent="0.2">
      <c r="B39" s="123"/>
      <c r="C39" s="123"/>
      <c r="D39" s="123"/>
      <c r="E39" s="98"/>
      <c r="F39" s="123"/>
      <c r="G39" s="123"/>
      <c r="H39" s="123"/>
      <c r="I39" s="123"/>
      <c r="K39" s="30">
        <f>0.5*(D27-D14)/100</f>
        <v>0.77500000000000002</v>
      </c>
      <c r="M39" s="30">
        <f>0.5*(D27-D15)/100</f>
        <v>0.77500000000000002</v>
      </c>
    </row>
    <row r="40" spans="2:16" ht="13.5" thickBot="1" x14ac:dyDescent="0.25">
      <c r="B40" s="20" t="s">
        <v>130</v>
      </c>
      <c r="C40" s="120"/>
      <c r="D40" s="131" t="str">
        <f>IF(P42,"unsafe bending"," ")</f>
        <v xml:space="preserve"> </v>
      </c>
      <c r="E40" s="94"/>
      <c r="F40" s="120"/>
      <c r="G40" s="130" t="str">
        <f>IF(L51,"unsafe shear"," ")</f>
        <v xml:space="preserve"> </v>
      </c>
      <c r="H40" s="123"/>
      <c r="I40" s="123"/>
      <c r="K40" s="30">
        <f>K38*K39^2/2</f>
        <v>10.010416666666666</v>
      </c>
      <c r="M40" s="30">
        <f>M38*M39^2/2</f>
        <v>14.014583333333334</v>
      </c>
    </row>
    <row r="41" spans="2:16" x14ac:dyDescent="0.2">
      <c r="B41" s="123"/>
      <c r="C41" s="123"/>
      <c r="D41" s="123"/>
      <c r="E41" s="98"/>
      <c r="F41" s="123"/>
      <c r="G41" s="123"/>
      <c r="H41" s="123"/>
      <c r="I41" s="123"/>
      <c r="K41" s="30">
        <f>E14+L37+0.5*K28</f>
        <v>119.25</v>
      </c>
      <c r="M41" s="30">
        <f>E15+L37+M37+0.5*K28</f>
        <v>199.66666666666669</v>
      </c>
    </row>
    <row r="42" spans="2:16" ht="13.5" thickBot="1" x14ac:dyDescent="0.25">
      <c r="B42" s="20" t="s">
        <v>128</v>
      </c>
      <c r="C42" s="20"/>
      <c r="D42" s="21" t="s">
        <v>30</v>
      </c>
      <c r="E42" s="5" t="s">
        <v>5</v>
      </c>
      <c r="F42" s="20"/>
      <c r="G42" s="21" t="s">
        <v>32</v>
      </c>
      <c r="H42" s="123"/>
      <c r="I42" s="123"/>
      <c r="K42" s="30">
        <f>L37*(C7*K41/10^5/1.5/K40)^0.5</f>
        <v>7.0847513995439719</v>
      </c>
      <c r="M42" s="30">
        <f>L37*(C7*M41/10^5/1.5/M40)^0.5</f>
        <v>7.7479032298835699</v>
      </c>
      <c r="N42" s="30">
        <f>MIN(K42:M42)</f>
        <v>7.0847513995439719</v>
      </c>
      <c r="O42" s="30">
        <v>2.78</v>
      </c>
      <c r="P42" s="30" t="b">
        <f>N42&lt;O42</f>
        <v>0</v>
      </c>
    </row>
    <row r="43" spans="2:16" x14ac:dyDescent="0.2">
      <c r="B43" s="125"/>
      <c r="C43" s="125"/>
      <c r="D43" s="126">
        <v>5</v>
      </c>
      <c r="E43" s="201">
        <v>12</v>
      </c>
      <c r="F43" s="127" t="s">
        <v>31</v>
      </c>
      <c r="G43" s="121">
        <f>INT(D43*F27/100)+2</f>
        <v>20</v>
      </c>
      <c r="H43" s="123"/>
      <c r="I43" s="123"/>
      <c r="K43" s="30">
        <f>0.5*(0.87+(0.87^2-3.386/K42^2)^0.5)</f>
        <v>0.85016302162081114</v>
      </c>
      <c r="L43" s="30">
        <v>0.82599999999999996</v>
      </c>
      <c r="M43" s="30">
        <f>0.5*(0.87+(0.87^2-3.386/M42^2)^0.5)</f>
        <v>0.85347785885946181</v>
      </c>
    </row>
    <row r="44" spans="2:16" x14ac:dyDescent="0.2">
      <c r="B44" s="120"/>
      <c r="C44" s="120"/>
      <c r="D44" s="120"/>
      <c r="E44" s="94"/>
      <c r="F44" s="120"/>
      <c r="G44" s="123"/>
      <c r="H44" s="123"/>
      <c r="I44" s="123"/>
      <c r="K44" s="30">
        <f>MIN(K43:L43)</f>
        <v>0.82599999999999996</v>
      </c>
      <c r="M44" s="30">
        <f>MIN(L43:M43)</f>
        <v>0.82599999999999996</v>
      </c>
    </row>
    <row r="45" spans="2:16" ht="13.5" thickBot="1" x14ac:dyDescent="0.25">
      <c r="B45" s="20" t="s">
        <v>129</v>
      </c>
      <c r="C45" s="20"/>
      <c r="D45" s="21" t="s">
        <v>30</v>
      </c>
      <c r="E45" s="5" t="s">
        <v>5</v>
      </c>
      <c r="F45" s="20"/>
      <c r="G45" s="21" t="s">
        <v>32</v>
      </c>
      <c r="H45" s="123"/>
      <c r="I45" s="123"/>
      <c r="K45" s="30">
        <f>K40*1.5*10^5/L37/K44/C8</f>
        <v>9.5276324739468325</v>
      </c>
      <c r="M45" s="30">
        <f>M40*1.5*10^5/L37/M44/C8</f>
        <v>13.338685463525566</v>
      </c>
    </row>
    <row r="46" spans="2:16" x14ac:dyDescent="0.2">
      <c r="B46" s="123"/>
      <c r="C46" s="123"/>
      <c r="D46" s="126">
        <f>INT(O47)+1</f>
        <v>4</v>
      </c>
      <c r="E46" s="201">
        <v>16</v>
      </c>
      <c r="F46" s="127" t="s">
        <v>31</v>
      </c>
      <c r="G46" s="121">
        <f>INT(D46*F27/100)+2</f>
        <v>16</v>
      </c>
      <c r="H46" s="123"/>
      <c r="I46" s="123"/>
      <c r="K46" s="30">
        <f>K45/K41*100</f>
        <v>7.9896289089700909</v>
      </c>
      <c r="L46" s="30">
        <f>0.15*L37</f>
        <v>7.9499999999999993</v>
      </c>
      <c r="M46" s="30">
        <f>M45/M41*100</f>
        <v>6.6804768598625541</v>
      </c>
      <c r="O46" s="30">
        <f>MAX(K46:M46)</f>
        <v>7.9896289089700909</v>
      </c>
    </row>
    <row r="47" spans="2:16" x14ac:dyDescent="0.2">
      <c r="O47" s="30">
        <f>O46*4/3.14/E46^2*100</f>
        <v>3.975730945944512</v>
      </c>
    </row>
    <row r="48" spans="2:16" x14ac:dyDescent="0.2">
      <c r="K48" s="30">
        <f>K38*(K39-0.5*L37/100)</f>
        <v>16.999999999999996</v>
      </c>
      <c r="M48" s="30">
        <f>M38*(M39-0.5*L37/100)</f>
        <v>23.8</v>
      </c>
    </row>
    <row r="49" spans="11:13" x14ac:dyDescent="0.2">
      <c r="K49" s="30">
        <f>K48*1.5*1000/K41/L37</f>
        <v>4.034650528064553</v>
      </c>
      <c r="M49" s="30">
        <f>M48*1.5*1000/L37/M41</f>
        <v>3.3735471068132417</v>
      </c>
    </row>
    <row r="50" spans="11:13" x14ac:dyDescent="0.2">
      <c r="L50" s="30">
        <f>MAX(K49:M49)</f>
        <v>4.034650528064553</v>
      </c>
    </row>
    <row r="51" spans="11:13" x14ac:dyDescent="0.2">
      <c r="L51" s="30" t="b">
        <f>L50&gt;N27</f>
        <v>0</v>
      </c>
    </row>
  </sheetData>
  <sheetProtection sheet="1" objects="1" scenarios="1"/>
  <mergeCells count="1">
    <mergeCell ref="C4:I4"/>
  </mergeCells>
  <phoneticPr fontId="0" type="noConversion"/>
  <pageMargins left="0.75" right="0.75" top="1" bottom="1" header="0.5" footer="0.5"/>
  <pageSetup paperSize="9" orientation="portrait" r:id="rId1"/>
  <headerFooter alignWithMargins="0">
    <oddHeader>&amp;R&amp;"Arial,Bold Italic"&amp;9Concrete design using the ultimate limit design method.</oddHeader>
    <oddFooter>&amp;L&amp;"Arial,Bold Italic"&amp;9By: Eng. Mahmoud El-Kateb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workbookViewId="0">
      <selection activeCell="C4" sqref="C4:H4"/>
    </sheetView>
  </sheetViews>
  <sheetFormatPr defaultColWidth="9.140625" defaultRowHeight="12.75" x14ac:dyDescent="0.2"/>
  <cols>
    <col min="1" max="1" width="6.42578125" style="30" customWidth="1"/>
    <col min="2" max="2" width="23.140625" style="30" customWidth="1"/>
    <col min="3" max="3" width="7.7109375" style="30" customWidth="1"/>
    <col min="4" max="4" width="7.42578125" style="30" customWidth="1"/>
    <col min="5" max="5" width="6.5703125" style="30" customWidth="1"/>
    <col min="6" max="6" width="6.7109375" style="30" customWidth="1"/>
    <col min="7" max="7" width="10.42578125" style="30" customWidth="1"/>
    <col min="8" max="8" width="12.85546875" style="30" bestFit="1" customWidth="1"/>
    <col min="9" max="9" width="12.85546875" style="30" hidden="1" customWidth="1"/>
    <col min="10" max="10" width="7.42578125" style="38" hidden="1" customWidth="1"/>
    <col min="11" max="14" width="9.140625" style="30" hidden="1" customWidth="1"/>
    <col min="15" max="15" width="12" style="30" hidden="1" customWidth="1"/>
    <col min="16" max="16" width="9.140625" style="30" hidden="1" customWidth="1"/>
    <col min="17" max="18" width="9.140625" style="30"/>
    <col min="19" max="19" width="10.28515625" style="30" customWidth="1"/>
    <col min="20" max="16384" width="9.140625" style="30"/>
  </cols>
  <sheetData>
    <row r="1" spans="1:18" ht="22.5" x14ac:dyDescent="0.3">
      <c r="A1" s="34" t="s">
        <v>155</v>
      </c>
    </row>
    <row r="2" spans="1:18" ht="12.75" customHeight="1" x14ac:dyDescent="0.3">
      <c r="A2" s="81"/>
    </row>
    <row r="4" spans="1:18" ht="18.75" x14ac:dyDescent="0.3">
      <c r="B4" s="35" t="s">
        <v>33</v>
      </c>
      <c r="C4" s="270"/>
      <c r="D4" s="270"/>
      <c r="E4" s="270"/>
      <c r="F4" s="270"/>
      <c r="G4" s="270"/>
      <c r="H4" s="270"/>
    </row>
    <row r="6" spans="1:18" ht="13.5" thickBot="1" x14ac:dyDescent="0.25">
      <c r="R6" s="51"/>
    </row>
    <row r="7" spans="1:18" ht="24" customHeight="1" thickTop="1" x14ac:dyDescent="0.3">
      <c r="B7" s="52" t="s">
        <v>34</v>
      </c>
      <c r="C7" s="165">
        <v>225</v>
      </c>
      <c r="D7" s="53" t="s">
        <v>8</v>
      </c>
    </row>
    <row r="8" spans="1:18" ht="25.5" customHeight="1" x14ac:dyDescent="0.3">
      <c r="B8" s="82" t="s">
        <v>43</v>
      </c>
      <c r="C8" s="182">
        <v>3600</v>
      </c>
      <c r="D8" s="83" t="s">
        <v>8</v>
      </c>
    </row>
    <row r="9" spans="1:18" ht="25.5" customHeight="1" x14ac:dyDescent="0.3">
      <c r="B9" s="82" t="s">
        <v>156</v>
      </c>
      <c r="C9" s="182">
        <v>2400</v>
      </c>
      <c r="D9" s="83" t="s">
        <v>8</v>
      </c>
    </row>
    <row r="10" spans="1:18" ht="24" customHeight="1" thickBot="1" x14ac:dyDescent="0.35">
      <c r="B10" s="54" t="s">
        <v>19</v>
      </c>
      <c r="C10" s="200">
        <v>1.5</v>
      </c>
      <c r="D10" s="55" t="s">
        <v>8</v>
      </c>
    </row>
    <row r="11" spans="1:18" ht="22.5" customHeight="1" thickTop="1" x14ac:dyDescent="0.25">
      <c r="B11" s="50"/>
      <c r="C11" s="40"/>
      <c r="D11" s="50"/>
    </row>
    <row r="12" spans="1:18" ht="15" x14ac:dyDescent="0.25">
      <c r="B12" s="50"/>
      <c r="C12" s="40"/>
      <c r="D12" s="50"/>
    </row>
    <row r="13" spans="1:18" s="38" customFormat="1" x14ac:dyDescent="0.2">
      <c r="A13" s="2"/>
      <c r="B13" s="2" t="s">
        <v>24</v>
      </c>
      <c r="C13" s="2"/>
      <c r="D13" s="2" t="s">
        <v>22</v>
      </c>
      <c r="E13" s="3" t="s">
        <v>138</v>
      </c>
      <c r="F13" s="2"/>
      <c r="G13" s="2" t="s">
        <v>25</v>
      </c>
    </row>
    <row r="14" spans="1:18" s="38" customFormat="1" ht="15" thickBot="1" x14ac:dyDescent="0.3">
      <c r="A14" s="1" t="s">
        <v>123</v>
      </c>
      <c r="B14" s="1" t="s">
        <v>41</v>
      </c>
      <c r="C14" s="1"/>
      <c r="D14" s="1" t="s">
        <v>136</v>
      </c>
      <c r="E14" s="1" t="s">
        <v>137</v>
      </c>
      <c r="F14" s="1"/>
      <c r="G14" s="1" t="s">
        <v>26</v>
      </c>
    </row>
    <row r="15" spans="1:18" s="38" customFormat="1" x14ac:dyDescent="0.2">
      <c r="A15" s="184" t="s">
        <v>144</v>
      </c>
      <c r="B15" s="170">
        <v>71</v>
      </c>
      <c r="C15" s="170"/>
      <c r="D15" s="170">
        <v>50</v>
      </c>
      <c r="E15" s="170">
        <v>25</v>
      </c>
      <c r="F15" s="170"/>
      <c r="G15" s="170">
        <v>0</v>
      </c>
    </row>
    <row r="16" spans="1:18" s="38" customFormat="1" x14ac:dyDescent="0.2">
      <c r="A16" s="184" t="s">
        <v>142</v>
      </c>
      <c r="B16" s="170">
        <v>124</v>
      </c>
      <c r="C16" s="170"/>
      <c r="D16" s="170">
        <v>80</v>
      </c>
      <c r="E16" s="170">
        <v>25</v>
      </c>
      <c r="F16" s="170"/>
      <c r="G16" s="170">
        <v>40</v>
      </c>
    </row>
    <row r="17" spans="1:14" s="38" customFormat="1" x14ac:dyDescent="0.2">
      <c r="A17" s="88"/>
    </row>
    <row r="18" spans="1:14" s="38" customFormat="1" ht="13.5" thickBot="1" x14ac:dyDescent="0.25">
      <c r="A18" s="88"/>
      <c r="B18" s="1" t="s">
        <v>124</v>
      </c>
      <c r="C18" s="170">
        <v>4.1399999999999997</v>
      </c>
      <c r="D18" s="128" t="s">
        <v>125</v>
      </c>
      <c r="J18" s="38">
        <f>B15*(C18/(C18-C20))</f>
        <v>99.979591836734713</v>
      </c>
      <c r="L18" s="38">
        <f>B15+B16-J18</f>
        <v>95.020408163265287</v>
      </c>
    </row>
    <row r="19" spans="1:14" s="38" customFormat="1" x14ac:dyDescent="0.2">
      <c r="A19" s="88"/>
      <c r="C19" s="170"/>
    </row>
    <row r="20" spans="1:14" s="38" customFormat="1" ht="13.5" thickBot="1" x14ac:dyDescent="0.25">
      <c r="A20" s="88"/>
      <c r="B20" s="21" t="s">
        <v>145</v>
      </c>
      <c r="C20" s="185">
        <v>1.2</v>
      </c>
      <c r="D20" s="128" t="s">
        <v>125</v>
      </c>
      <c r="E20" s="128"/>
      <c r="J20" s="38">
        <f>J18*1000/C10/F24</f>
        <v>251.52098575279172</v>
      </c>
      <c r="L20" s="38">
        <f>L18*1000/C10/D25</f>
        <v>248.41936774709876</v>
      </c>
    </row>
    <row r="21" spans="1:14" s="38" customFormat="1" x14ac:dyDescent="0.2">
      <c r="A21" s="88"/>
    </row>
    <row r="22" spans="1:14" s="38" customFormat="1" x14ac:dyDescent="0.2">
      <c r="A22" s="88"/>
    </row>
    <row r="23" spans="1:14" s="38" customFormat="1" ht="13.5" thickBot="1" x14ac:dyDescent="0.25">
      <c r="B23" s="20" t="s">
        <v>35</v>
      </c>
      <c r="C23" s="21"/>
      <c r="D23" s="21" t="s">
        <v>27</v>
      </c>
      <c r="E23" s="21"/>
      <c r="F23" s="21" t="s">
        <v>28</v>
      </c>
      <c r="G23" s="120"/>
      <c r="H23" s="120"/>
    </row>
    <row r="24" spans="1:14" s="38" customFormat="1" x14ac:dyDescent="0.2">
      <c r="B24" s="120" t="s">
        <v>146</v>
      </c>
      <c r="C24" s="120"/>
      <c r="D24" s="121">
        <f>INT(0.2*J20)*5+5</f>
        <v>255</v>
      </c>
      <c r="E24" s="121"/>
      <c r="F24" s="121">
        <f>200*(C20+0.5*E15/100)</f>
        <v>265</v>
      </c>
      <c r="G24" s="120"/>
      <c r="H24" s="120"/>
      <c r="J24" s="38">
        <f>J18/F28*100</f>
        <v>44.435374149659872</v>
      </c>
      <c r="L24" s="38">
        <f>L18/F29*100</f>
        <v>55.894357743097224</v>
      </c>
    </row>
    <row r="25" spans="1:14" s="38" customFormat="1" x14ac:dyDescent="0.2">
      <c r="B25" s="120" t="s">
        <v>147</v>
      </c>
      <c r="C25" s="120"/>
      <c r="D25" s="121">
        <f>D24</f>
        <v>255</v>
      </c>
      <c r="E25" s="121"/>
      <c r="F25" s="121">
        <f>INT(0.2*L20)*5+5</f>
        <v>250</v>
      </c>
      <c r="G25" s="120"/>
      <c r="H25" s="120"/>
      <c r="J25" s="38">
        <f>B15/J24</f>
        <v>1.5978260869565215</v>
      </c>
    </row>
    <row r="26" spans="1:14" s="38" customFormat="1" x14ac:dyDescent="0.2">
      <c r="B26" s="120"/>
      <c r="C26" s="120"/>
      <c r="D26" s="120"/>
      <c r="E26" s="120"/>
      <c r="F26" s="120"/>
      <c r="G26" s="120"/>
      <c r="H26" s="120"/>
      <c r="J26" s="38">
        <f>B15*(F28-0.5*E15)/100-J24*F28^2/20000</f>
        <v>38.39795918367345</v>
      </c>
      <c r="L26" s="38">
        <f>B16*0.5*F29/100-L24*(F29/100)^2/2</f>
        <v>24.632653061224531</v>
      </c>
      <c r="M26" s="38">
        <f>E35-8</f>
        <v>82</v>
      </c>
    </row>
    <row r="27" spans="1:14" s="38" customFormat="1" ht="13.5" thickBot="1" x14ac:dyDescent="0.25">
      <c r="B27" s="20" t="s">
        <v>36</v>
      </c>
      <c r="C27" s="21"/>
      <c r="D27" s="21" t="s">
        <v>27</v>
      </c>
      <c r="E27" s="21"/>
      <c r="F27" s="21" t="s">
        <v>28</v>
      </c>
      <c r="G27" s="21"/>
      <c r="H27" s="1" t="s">
        <v>23</v>
      </c>
    </row>
    <row r="28" spans="1:14" s="38" customFormat="1" x14ac:dyDescent="0.2">
      <c r="B28" s="120" t="s">
        <v>146</v>
      </c>
      <c r="C28" s="120"/>
      <c r="D28" s="121">
        <f>D24-2*G16</f>
        <v>175</v>
      </c>
      <c r="E28" s="121"/>
      <c r="F28" s="121">
        <f>F24-G16-G15</f>
        <v>225</v>
      </c>
      <c r="G28" s="120"/>
      <c r="H28" s="185">
        <v>60</v>
      </c>
      <c r="J28" s="38">
        <f>M26*(D35*C7/J26/1.5/10^5)^0.5</f>
        <v>3.6240185563741165</v>
      </c>
      <c r="L28" s="38">
        <f>M26*(D35*C7/L26/1.5/10^5)^0.5</f>
        <v>4.5246906177563746</v>
      </c>
      <c r="M28" s="38">
        <f>MIN(J28:L28)</f>
        <v>3.6240185563741165</v>
      </c>
      <c r="N28" s="38">
        <v>2.78</v>
      </c>
    </row>
    <row r="29" spans="1:14" s="38" customFormat="1" x14ac:dyDescent="0.2">
      <c r="B29" s="120" t="s">
        <v>147</v>
      </c>
      <c r="C29" s="120"/>
      <c r="D29" s="121">
        <f>D25-2*G16</f>
        <v>175</v>
      </c>
      <c r="E29" s="121"/>
      <c r="F29" s="121">
        <f>F25-2*G16</f>
        <v>170</v>
      </c>
      <c r="G29" s="120"/>
      <c r="H29" s="185">
        <v>60</v>
      </c>
      <c r="J29" s="38">
        <f>0.5*(0.87+(0.87^2-3.386/J28^2)^0.5)</f>
        <v>0.78823017245324789</v>
      </c>
      <c r="L29" s="38">
        <f>0.5*(0.87+(0.87^2-3.386/L28^2)^0.5)</f>
        <v>0.8195484453339934</v>
      </c>
      <c r="N29" s="38" t="b">
        <f>M28&gt;N28</f>
        <v>1</v>
      </c>
    </row>
    <row r="30" spans="1:14" s="38" customFormat="1" x14ac:dyDescent="0.2">
      <c r="B30" s="120"/>
      <c r="C30" s="120"/>
      <c r="D30" s="120"/>
      <c r="E30" s="120"/>
      <c r="F30" s="120"/>
      <c r="G30" s="120"/>
      <c r="H30" s="120"/>
      <c r="J30" s="38">
        <f>J26*1.5*10^5/J29/M26/C8</f>
        <v>24.753122633024493</v>
      </c>
      <c r="L30" s="38">
        <f>L26*1.5*10^5/L29/M26/C8</f>
        <v>15.272546820040407</v>
      </c>
      <c r="M30" s="38">
        <f>MAX(J30:L30)</f>
        <v>24.753122633024493</v>
      </c>
    </row>
    <row r="31" spans="1:14" s="38" customFormat="1" x14ac:dyDescent="0.2">
      <c r="B31" s="120"/>
      <c r="C31" s="120"/>
      <c r="D31" s="120"/>
      <c r="E31" s="120"/>
      <c r="F31" s="120"/>
      <c r="G31" s="120"/>
      <c r="H31" s="120"/>
    </row>
    <row r="32" spans="1:14" s="38" customFormat="1" ht="13.5" thickBot="1" x14ac:dyDescent="0.25">
      <c r="B32" s="20" t="s">
        <v>127</v>
      </c>
      <c r="C32" s="120"/>
      <c r="D32" s="130" t="str">
        <f>IF(N29," ","unsafe bending")</f>
        <v xml:space="preserve"> </v>
      </c>
      <c r="E32" s="92"/>
      <c r="F32" s="130"/>
      <c r="G32" s="130" t="str">
        <f>IF(L39," ","unsafe shear")</f>
        <v xml:space="preserve"> </v>
      </c>
      <c r="H32" s="120"/>
      <c r="M32" s="38">
        <f>M30*4/3.14/E38^2*100</f>
        <v>6.5150083257947289</v>
      </c>
    </row>
    <row r="33" spans="2:16" s="38" customFormat="1" x14ac:dyDescent="0.2">
      <c r="B33" s="120"/>
      <c r="C33" s="120"/>
      <c r="D33" s="130"/>
      <c r="E33" s="120"/>
      <c r="F33" s="130"/>
      <c r="G33" s="130"/>
      <c r="H33" s="120"/>
    </row>
    <row r="34" spans="2:16" s="38" customFormat="1" ht="13.5" thickBot="1" x14ac:dyDescent="0.25">
      <c r="B34" s="4" t="s">
        <v>148</v>
      </c>
      <c r="C34" s="1"/>
      <c r="D34" s="1" t="s">
        <v>3</v>
      </c>
      <c r="E34" s="1" t="s">
        <v>23</v>
      </c>
      <c r="F34" s="120"/>
      <c r="G34" s="120"/>
      <c r="H34" s="120"/>
      <c r="J34" s="38">
        <f>(F29-E16)/2/100</f>
        <v>0.72499999999999998</v>
      </c>
      <c r="K34" s="38">
        <f>L24*J34^2/2</f>
        <v>14.689735894357739</v>
      </c>
      <c r="L34" s="38">
        <f>M26*(D35*C7/K34/1.5/10^5)^0.5</f>
        <v>5.8591887698665817</v>
      </c>
      <c r="M34" s="38">
        <f>0.5*(0.87+(0.87^2-3.386/L34^2)^0.5)</f>
        <v>0.84066899446036125</v>
      </c>
      <c r="N34" s="38">
        <v>0.82599999999999996</v>
      </c>
    </row>
    <row r="35" spans="2:16" s="38" customFormat="1" x14ac:dyDescent="0.2">
      <c r="B35" s="91"/>
      <c r="C35" s="91"/>
      <c r="D35" s="185">
        <v>50</v>
      </c>
      <c r="E35" s="185">
        <v>90</v>
      </c>
      <c r="F35" s="120"/>
      <c r="G35" s="120"/>
      <c r="H35" s="120"/>
      <c r="M35" s="38">
        <f>MIN(M34:N34)</f>
        <v>0.82599999999999996</v>
      </c>
    </row>
    <row r="36" spans="2:16" x14ac:dyDescent="0.2">
      <c r="B36" s="123"/>
      <c r="C36" s="123"/>
      <c r="D36" s="123"/>
      <c r="E36" s="123"/>
      <c r="F36" s="123"/>
      <c r="G36" s="123"/>
      <c r="H36" s="123"/>
      <c r="K36" s="30">
        <f>0.15/100*D35*M26</f>
        <v>6.1499999999999995</v>
      </c>
      <c r="L36" s="30">
        <f>K34*1.5*10^5/M35/M26/C8</f>
        <v>9.0366788066434243</v>
      </c>
      <c r="M36" s="30">
        <f>MAX(K36:L36)</f>
        <v>9.0366788066434243</v>
      </c>
      <c r="N36" s="30">
        <f>M36*4/3.14/E39^2*100</f>
        <v>4.4967549794204933</v>
      </c>
    </row>
    <row r="37" spans="2:16" ht="13.5" thickBot="1" x14ac:dyDescent="0.25">
      <c r="B37" s="20" t="s">
        <v>149</v>
      </c>
      <c r="C37" s="20"/>
      <c r="D37" s="21" t="s">
        <v>30</v>
      </c>
      <c r="E37" s="5" t="s">
        <v>5</v>
      </c>
      <c r="F37" s="123"/>
      <c r="G37" s="123"/>
      <c r="H37" s="123"/>
    </row>
    <row r="38" spans="2:16" x14ac:dyDescent="0.2">
      <c r="B38" s="132" t="s">
        <v>150</v>
      </c>
      <c r="C38" s="125"/>
      <c r="D38" s="126">
        <f>INT(M32)+1</f>
        <v>7</v>
      </c>
      <c r="E38" s="201">
        <v>22</v>
      </c>
      <c r="F38" s="127"/>
      <c r="G38" s="120"/>
      <c r="H38" s="123"/>
      <c r="J38" s="38">
        <f>J24*F28/100-B15</f>
        <v>28.979591836734713</v>
      </c>
    </row>
    <row r="39" spans="2:16" x14ac:dyDescent="0.2">
      <c r="B39" s="90" t="s">
        <v>151</v>
      </c>
      <c r="C39" s="120"/>
      <c r="D39" s="121">
        <f>INT(N36)+1</f>
        <v>5</v>
      </c>
      <c r="E39" s="186">
        <v>16</v>
      </c>
      <c r="F39" s="120"/>
      <c r="G39" s="123"/>
      <c r="H39" s="123"/>
      <c r="J39" s="38">
        <f>J38*1.5*1000/D35/M26</f>
        <v>10.602289696366359</v>
      </c>
      <c r="K39" s="30">
        <f>0.75*(C7/1.5)^0.5</f>
        <v>9.1855865354369186</v>
      </c>
      <c r="L39" s="30" t="b">
        <f>J39&lt;3*K39</f>
        <v>1</v>
      </c>
    </row>
    <row r="40" spans="2:16" x14ac:dyDescent="0.2">
      <c r="B40" s="123"/>
      <c r="C40" s="123"/>
      <c r="D40" s="123"/>
      <c r="E40" s="98"/>
      <c r="F40" s="123"/>
      <c r="G40" s="123"/>
      <c r="H40" s="123"/>
      <c r="J40" s="38">
        <f>(J39-0.5*K39)*1.15*D35/C9/F42*2</f>
        <v>7.1988759301511288E-2</v>
      </c>
      <c r="K40" s="30">
        <f>J40*4/3.14/E42^2*5000</f>
        <v>4.5852712930898907</v>
      </c>
    </row>
    <row r="41" spans="2:16" ht="13.5" thickBot="1" x14ac:dyDescent="0.25">
      <c r="B41" s="20" t="s">
        <v>152</v>
      </c>
      <c r="C41" s="20"/>
      <c r="D41" s="21" t="s">
        <v>30</v>
      </c>
      <c r="E41" s="5" t="s">
        <v>5</v>
      </c>
      <c r="F41" s="127"/>
      <c r="G41" s="120"/>
      <c r="H41" s="123"/>
    </row>
    <row r="42" spans="2:16" x14ac:dyDescent="0.2">
      <c r="B42" s="132"/>
      <c r="C42" s="125"/>
      <c r="D42" s="126">
        <f>INT(K40)+1</f>
        <v>5</v>
      </c>
      <c r="E42" s="201">
        <v>10</v>
      </c>
      <c r="F42" s="185">
        <v>4</v>
      </c>
      <c r="G42" s="123" t="s">
        <v>153</v>
      </c>
      <c r="H42" s="123"/>
      <c r="J42" s="38">
        <f>J18/D28*100</f>
        <v>57.131195335276971</v>
      </c>
      <c r="L42" s="30">
        <f>L18/D29*100</f>
        <v>54.297376093294446</v>
      </c>
      <c r="N42" s="30">
        <f>J42*(K43-0.5*J45/100)</f>
        <v>19.995918367346938</v>
      </c>
      <c r="P42" s="30">
        <f>L42*(M44-0.5*L45/100)</f>
        <v>10.859475218658886</v>
      </c>
    </row>
    <row r="43" spans="2:16" x14ac:dyDescent="0.2">
      <c r="B43" s="132"/>
      <c r="C43" s="125"/>
      <c r="D43" s="132"/>
      <c r="E43" s="132"/>
      <c r="F43" s="123"/>
      <c r="G43" s="123"/>
      <c r="H43" s="123"/>
      <c r="J43" s="38">
        <f>(D28-D15)/200</f>
        <v>0.625</v>
      </c>
      <c r="K43" s="30">
        <f>(D28-D35)/200</f>
        <v>0.625</v>
      </c>
      <c r="L43" s="30">
        <f>(D29-D16)/200</f>
        <v>0.47499999999999998</v>
      </c>
      <c r="M43" s="30">
        <f>(D29-D35)/200</f>
        <v>0.625</v>
      </c>
      <c r="N43" s="30">
        <f>N42*1.5*1000/J45/F28</f>
        <v>2.4237476808905383</v>
      </c>
      <c r="O43" s="30">
        <f>0.49*(C7/1.5)^0.5</f>
        <v>6.0012498698187864</v>
      </c>
      <c r="P43" s="30">
        <f>P42*1.5*1000/L45/F29</f>
        <v>1.742161799784848</v>
      </c>
    </row>
    <row r="44" spans="2:16" ht="13.5" thickBot="1" x14ac:dyDescent="0.25">
      <c r="B44" s="20" t="s">
        <v>130</v>
      </c>
      <c r="C44" s="120"/>
      <c r="D44" s="123"/>
      <c r="E44" s="120"/>
      <c r="F44" s="120"/>
      <c r="G44" s="130"/>
      <c r="H44" s="123"/>
      <c r="J44" s="38">
        <f>J42*K44^2/2</f>
        <v>11.158436588921283</v>
      </c>
      <c r="K44" s="30">
        <f>MIN(J43:K43)</f>
        <v>0.625</v>
      </c>
      <c r="L44" s="30">
        <f>L42*M44^2/2</f>
        <v>6.1254227405247796</v>
      </c>
      <c r="M44" s="30">
        <f>MIN(L43:M43)</f>
        <v>0.47499999999999998</v>
      </c>
      <c r="N44" s="30" t="b">
        <f>N43&gt;O43</f>
        <v>0</v>
      </c>
      <c r="P44" s="30" t="b">
        <f>P43&gt;O43</f>
        <v>0</v>
      </c>
    </row>
    <row r="45" spans="2:16" x14ac:dyDescent="0.2">
      <c r="B45" s="123"/>
      <c r="C45" s="123"/>
      <c r="D45" s="123"/>
      <c r="E45" s="123"/>
      <c r="F45" s="123"/>
      <c r="G45" s="123"/>
      <c r="H45" s="123"/>
      <c r="J45" s="38">
        <f>H28-5</f>
        <v>55</v>
      </c>
      <c r="L45" s="30">
        <f>H29-5</f>
        <v>55</v>
      </c>
    </row>
    <row r="46" spans="2:16" ht="13.5" thickBot="1" x14ac:dyDescent="0.25">
      <c r="B46" s="20" t="s">
        <v>129</v>
      </c>
      <c r="C46" s="20"/>
      <c r="D46" s="21" t="s">
        <v>30</v>
      </c>
      <c r="E46" s="5" t="s">
        <v>5</v>
      </c>
      <c r="F46" s="20"/>
      <c r="G46" s="21" t="s">
        <v>32</v>
      </c>
      <c r="H46" s="123"/>
      <c r="J46" s="38">
        <f>J45*(F28*C7/1.5/J44/10^5)^0.5</f>
        <v>9.5652847517530191</v>
      </c>
      <c r="K46" s="38">
        <v>2.78</v>
      </c>
      <c r="L46" s="38">
        <f>L45*(F29*C7/1.5/L44/10^5)^0.5</f>
        <v>11.221857420196526</v>
      </c>
      <c r="M46" s="30" t="b">
        <f>J46&gt;K46</f>
        <v>1</v>
      </c>
      <c r="N46" s="30" t="b">
        <f>L46&gt;K46</f>
        <v>1</v>
      </c>
    </row>
    <row r="47" spans="2:16" x14ac:dyDescent="0.2">
      <c r="B47" s="132" t="s">
        <v>146</v>
      </c>
      <c r="C47" s="125"/>
      <c r="D47" s="126">
        <f>INT(J50)+1</f>
        <v>5</v>
      </c>
      <c r="E47" s="201">
        <v>16</v>
      </c>
      <c r="F47" s="127" t="s">
        <v>31</v>
      </c>
      <c r="G47" s="121">
        <f>INT(D47*F28/100)+2</f>
        <v>13</v>
      </c>
      <c r="H47" s="131" t="str">
        <f>IF(N44,"unsafe shear"," ")</f>
        <v xml:space="preserve"> </v>
      </c>
      <c r="I47" s="133" t="str">
        <f>IF(M46," ","unsafe bending")</f>
        <v xml:space="preserve"> </v>
      </c>
      <c r="J47" s="38">
        <f>0.5*(0.87+(0.87^2-3.386/J46^2)^0.5)</f>
        <v>0.85923235989791213</v>
      </c>
      <c r="K47" s="38">
        <v>0.82599999999999996</v>
      </c>
      <c r="L47" s="38">
        <f>0.5*(0.87+(0.87^2-3.386/L46^2)^0.5)</f>
        <v>0.86220371730051615</v>
      </c>
    </row>
    <row r="48" spans="2:16" x14ac:dyDescent="0.2">
      <c r="B48" s="120" t="s">
        <v>147</v>
      </c>
      <c r="C48" s="120"/>
      <c r="D48" s="121">
        <f>INT(L50)+1</f>
        <v>5</v>
      </c>
      <c r="E48" s="186">
        <v>16</v>
      </c>
      <c r="F48" s="134" t="s">
        <v>31</v>
      </c>
      <c r="G48" s="121">
        <f>INT(D48*F29/100)+2</f>
        <v>10</v>
      </c>
      <c r="H48" s="131" t="str">
        <f>IF(P44,"unsafe shear"," ")</f>
        <v xml:space="preserve"> </v>
      </c>
      <c r="I48" s="133" t="str">
        <f>IF(N46," ","unsafe bending")</f>
        <v xml:space="preserve"> </v>
      </c>
      <c r="J48" s="38">
        <f>J44*1.5*10^5/K48/J45/C8</f>
        <v>10.234093283550962</v>
      </c>
      <c r="K48" s="38">
        <f>MIN(J47:K47)</f>
        <v>0.82599999999999996</v>
      </c>
      <c r="L48" s="38">
        <f>L44*1.5*10^5/M48/L45/C8</f>
        <v>5.6180045679477413</v>
      </c>
      <c r="M48" s="30">
        <f>MIN(K47:L47)</f>
        <v>0.82599999999999996</v>
      </c>
    </row>
    <row r="49" spans="4:13" x14ac:dyDescent="0.2">
      <c r="J49" s="38">
        <f>J48/F28*100</f>
        <v>4.5484859038004277</v>
      </c>
      <c r="K49" s="30">
        <f>0.15*J45</f>
        <v>8.25</v>
      </c>
      <c r="L49" s="30">
        <f>L48/F29*100</f>
        <v>3.3047085693810243</v>
      </c>
      <c r="M49" s="30">
        <f>0.15*L45</f>
        <v>8.25</v>
      </c>
    </row>
    <row r="50" spans="4:13" x14ac:dyDescent="0.2">
      <c r="D50" s="101"/>
      <c r="E50" s="101"/>
      <c r="F50" s="102"/>
      <c r="G50" s="38"/>
      <c r="J50" s="38">
        <f>K50*4/3.14/E47^2*100</f>
        <v>4.1052945859872612</v>
      </c>
      <c r="K50" s="30">
        <f>MAX(J49:K49)</f>
        <v>8.25</v>
      </c>
      <c r="L50" s="30">
        <f>M50*4/3.14/E48^2*100</f>
        <v>4.1052945859872612</v>
      </c>
      <c r="M50" s="30">
        <f>MAX(L49:M49)</f>
        <v>8.25</v>
      </c>
    </row>
  </sheetData>
  <sheetProtection sheet="1" objects="1" scenarios="1"/>
  <mergeCells count="1">
    <mergeCell ref="C4:H4"/>
  </mergeCells>
  <phoneticPr fontId="0" type="noConversion"/>
  <pageMargins left="0.75" right="0.75" top="1" bottom="1" header="0.5" footer="0.5"/>
  <pageSetup paperSize="9" orientation="portrait" r:id="rId1"/>
  <headerFooter alignWithMargins="0">
    <oddHeader>&amp;R&amp;"Arial,Bold Italic"&amp;9Concrete design using the ultimate limit design method.</oddHeader>
    <oddFooter>&amp;L&amp;"Arial,Bold Italic"&amp;9By: Eng. Mahmoud El-Kateb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workbookViewId="0">
      <selection activeCell="C5" sqref="C5:J5"/>
    </sheetView>
  </sheetViews>
  <sheetFormatPr defaultColWidth="9.140625" defaultRowHeight="12.75" x14ac:dyDescent="0.2"/>
  <cols>
    <col min="1" max="1" width="4.5703125" style="30" customWidth="1"/>
    <col min="2" max="2" width="23.140625" style="30" customWidth="1"/>
    <col min="3" max="3" width="7" style="30" customWidth="1"/>
    <col min="4" max="4" width="9.5703125" style="30" customWidth="1"/>
    <col min="5" max="5" width="6.7109375" style="30" customWidth="1"/>
    <col min="6" max="6" width="7.42578125" style="38" customWidth="1"/>
    <col min="7" max="7" width="9.140625" style="30"/>
    <col min="8" max="8" width="5.42578125" style="30" customWidth="1"/>
    <col min="9" max="9" width="5.140625" style="30" customWidth="1"/>
    <col min="10" max="10" width="9.140625" style="68"/>
    <col min="11" max="14" width="9.140625" style="68" hidden="1" customWidth="1"/>
    <col min="15" max="15" width="10.28515625" style="68" hidden="1" customWidth="1"/>
    <col min="16" max="16" width="9.140625" style="30" hidden="1" customWidth="1"/>
    <col min="17" max="16384" width="9.140625" style="30"/>
  </cols>
  <sheetData>
    <row r="1" spans="1:16" ht="22.5" x14ac:dyDescent="0.3">
      <c r="A1" s="34" t="s">
        <v>206</v>
      </c>
    </row>
    <row r="2" spans="1:16" ht="12.75" customHeight="1" x14ac:dyDescent="0.3">
      <c r="A2" s="34"/>
    </row>
    <row r="3" spans="1:16" ht="12.75" customHeight="1" x14ac:dyDescent="0.3">
      <c r="A3" s="81"/>
    </row>
    <row r="5" spans="1:16" ht="18.75" x14ac:dyDescent="0.3">
      <c r="B5" s="35" t="s">
        <v>33</v>
      </c>
      <c r="C5" s="270"/>
      <c r="D5" s="270"/>
      <c r="E5" s="270"/>
      <c r="F5" s="270"/>
      <c r="G5" s="270"/>
      <c r="H5" s="270"/>
      <c r="I5" s="270"/>
      <c r="J5" s="270"/>
    </row>
    <row r="8" spans="1:16" ht="13.5" thickBot="1" x14ac:dyDescent="0.25"/>
    <row r="9" spans="1:16" ht="24" customHeight="1" thickTop="1" x14ac:dyDescent="0.2">
      <c r="B9" s="215" t="s">
        <v>207</v>
      </c>
      <c r="C9" s="216">
        <v>225</v>
      </c>
      <c r="D9" s="217" t="s">
        <v>8</v>
      </c>
    </row>
    <row r="10" spans="1:16" ht="24" customHeight="1" x14ac:dyDescent="0.2">
      <c r="B10" s="141" t="s">
        <v>43</v>
      </c>
      <c r="C10" s="218">
        <v>3600</v>
      </c>
      <c r="D10" s="219" t="s">
        <v>8</v>
      </c>
    </row>
    <row r="11" spans="1:16" ht="24" customHeight="1" x14ac:dyDescent="0.2">
      <c r="B11" s="141" t="s">
        <v>19</v>
      </c>
      <c r="C11" s="220">
        <v>1</v>
      </c>
      <c r="D11" s="219" t="s">
        <v>8</v>
      </c>
      <c r="G11" s="203">
        <v>0.25</v>
      </c>
      <c r="M11" s="68">
        <f>C14*3.14/180</f>
        <v>0.38377777777777777</v>
      </c>
      <c r="N11" s="140">
        <f>(F22-F21)/2</f>
        <v>0.19999999999999996</v>
      </c>
    </row>
    <row r="12" spans="1:16" ht="23.25" customHeight="1" x14ac:dyDescent="0.2">
      <c r="B12" s="141" t="s">
        <v>208</v>
      </c>
      <c r="C12" s="220">
        <v>1.8</v>
      </c>
      <c r="D12" s="219" t="s">
        <v>209</v>
      </c>
      <c r="H12" s="212">
        <v>0.2</v>
      </c>
      <c r="I12" s="211" t="s">
        <v>228</v>
      </c>
      <c r="K12" s="68" t="s">
        <v>210</v>
      </c>
      <c r="L12" s="68" t="s">
        <v>211</v>
      </c>
      <c r="M12" s="68" t="s">
        <v>212</v>
      </c>
      <c r="N12" s="68" t="s">
        <v>213</v>
      </c>
      <c r="O12" s="68" t="s">
        <v>214</v>
      </c>
      <c r="P12" s="30">
        <f>L20*(F22/2-N11/2)</f>
        <v>1.8953999999999998</v>
      </c>
    </row>
    <row r="13" spans="1:16" ht="24" customHeight="1" x14ac:dyDescent="0.2">
      <c r="B13" s="141" t="s">
        <v>215</v>
      </c>
      <c r="C13" s="220">
        <v>0</v>
      </c>
      <c r="D13" s="219" t="s">
        <v>8</v>
      </c>
      <c r="K13" s="68">
        <f>(H15+C19+C20)*C12*D15</f>
        <v>2.2680000000000002</v>
      </c>
      <c r="L13" s="68">
        <f>G11*F15*2.5</f>
        <v>2.1875</v>
      </c>
      <c r="M13" s="68">
        <f>L18*TAN(M11)+C13*10*F22</f>
        <v>6.0850612459623736</v>
      </c>
      <c r="N13" s="68">
        <f>K14*(H15+C19+C20)/3+K17*(H15+C19+C20)/2</f>
        <v>7.1971200000000017</v>
      </c>
      <c r="O13" s="68">
        <f>N13</f>
        <v>7.1971200000000017</v>
      </c>
      <c r="P13" s="30">
        <f>L19*(F22/2-0.5*N11-0.5*H17)</f>
        <v>0.18</v>
      </c>
    </row>
    <row r="14" spans="1:16" ht="24" customHeight="1" x14ac:dyDescent="0.2">
      <c r="B14" s="141" t="s">
        <v>229</v>
      </c>
      <c r="C14" s="213">
        <v>22</v>
      </c>
      <c r="D14" s="214" t="s">
        <v>230</v>
      </c>
      <c r="K14" s="68">
        <f>K13*0.5*(H15+C19+C20)</f>
        <v>4.7628000000000004</v>
      </c>
      <c r="L14" s="68">
        <f>F21*C19*2.5</f>
        <v>3.75</v>
      </c>
      <c r="N14" s="68">
        <f>L14*(N11+F21/2)</f>
        <v>5.4375</v>
      </c>
      <c r="O14" s="68">
        <f>L13*(N11+E17+G11/2-F22/2)</f>
        <v>0.92968750000000011</v>
      </c>
      <c r="P14" s="30">
        <f>L21*(F22/2-N11/2)</f>
        <v>0.48599999999999993</v>
      </c>
    </row>
    <row r="15" spans="1:16" ht="24" customHeight="1" thickBot="1" x14ac:dyDescent="0.25">
      <c r="B15" s="142" t="s">
        <v>216</v>
      </c>
      <c r="C15" s="143"/>
      <c r="D15" s="202">
        <v>0.3</v>
      </c>
      <c r="E15" s="68"/>
      <c r="F15" s="204">
        <v>3.5</v>
      </c>
      <c r="G15" s="68"/>
      <c r="H15" s="205">
        <v>3.3</v>
      </c>
      <c r="L15" s="68">
        <f>F22*C20*2.2</f>
        <v>1.9140000000000001</v>
      </c>
      <c r="N15" s="68">
        <f>L15*F22/2</f>
        <v>2.7753000000000001</v>
      </c>
      <c r="O15" s="68">
        <f>L16*(N11+E17+G11+H17/2-F22/2)</f>
        <v>3.7422</v>
      </c>
      <c r="P15" s="30">
        <f>L17*(F22/2-N11-E17/2)</f>
        <v>0.53010000000000013</v>
      </c>
    </row>
    <row r="16" spans="1:16" ht="24" customHeight="1" thickTop="1" x14ac:dyDescent="0.2">
      <c r="E16" s="68"/>
      <c r="F16" s="91"/>
      <c r="G16" s="68"/>
      <c r="H16" s="68"/>
      <c r="K16" s="68">
        <f>0.5*(D17+C19+C20)^2*C12</f>
        <v>1.5210000000000001</v>
      </c>
      <c r="L16" s="68">
        <f>H15*H17*C12</f>
        <v>4.1579999999999995</v>
      </c>
      <c r="N16" s="68">
        <f>L13*(N11+E17+G11/2)</f>
        <v>4.1015625</v>
      </c>
      <c r="O16" s="68">
        <f>O13-O14-O15+P15+P14-P12-P13</f>
        <v>1.4659325000000019</v>
      </c>
      <c r="P16" s="30" t="s">
        <v>217</v>
      </c>
    </row>
    <row r="17" spans="2:16" ht="22.5" customHeight="1" x14ac:dyDescent="0.2">
      <c r="C17" s="225"/>
      <c r="D17" s="226">
        <v>0.4</v>
      </c>
      <c r="E17" s="144">
        <f>F21-H17-G11</f>
        <v>1.55</v>
      </c>
      <c r="F17" s="91"/>
      <c r="G17" s="68"/>
      <c r="H17" s="206">
        <v>0.7</v>
      </c>
      <c r="K17" s="68">
        <f>H12*D15*(H15+C19+C20)</f>
        <v>0.252</v>
      </c>
      <c r="L17" s="68">
        <f>D17*E17*C12</f>
        <v>1.1160000000000003</v>
      </c>
      <c r="N17" s="68">
        <f>L16*(N11+E17+G11+H17/2)</f>
        <v>9.7712999999999983</v>
      </c>
      <c r="O17" s="68">
        <f>O16/L18</f>
        <v>9.727811141710091E-2</v>
      </c>
      <c r="P17" s="30" t="s">
        <v>218</v>
      </c>
    </row>
    <row r="18" spans="2:16" ht="22.5" customHeight="1" x14ac:dyDescent="0.25">
      <c r="B18" s="50"/>
      <c r="E18" s="68"/>
      <c r="F18" s="91"/>
      <c r="G18" s="68"/>
      <c r="H18" s="68"/>
      <c r="K18" s="68">
        <f>K14+K17-K16</f>
        <v>3.4938000000000002</v>
      </c>
      <c r="L18" s="68">
        <f>SUM(L13:L17)+L19+L20+L21</f>
        <v>15.069499999999998</v>
      </c>
      <c r="N18" s="68">
        <f>N14+N15+N17+N16</f>
        <v>22.085662499999998</v>
      </c>
    </row>
    <row r="19" spans="2:16" ht="22.5" customHeight="1" x14ac:dyDescent="0.25">
      <c r="B19" s="50"/>
      <c r="C19" s="207">
        <v>0.6</v>
      </c>
      <c r="E19" s="68"/>
      <c r="F19" s="91"/>
      <c r="G19" s="68"/>
      <c r="H19" s="68"/>
      <c r="L19" s="68">
        <f>H12*(H17+N11)</f>
        <v>0.18</v>
      </c>
    </row>
    <row r="20" spans="2:16" x14ac:dyDescent="0.2">
      <c r="C20" s="207">
        <v>0.3</v>
      </c>
      <c r="E20" s="68"/>
      <c r="F20" s="91"/>
      <c r="G20" s="68"/>
      <c r="H20" s="68"/>
      <c r="L20" s="68">
        <f>N11*(H15+C19)*C12</f>
        <v>1.4039999999999997</v>
      </c>
    </row>
    <row r="21" spans="2:16" x14ac:dyDescent="0.2">
      <c r="E21" s="68"/>
      <c r="F21" s="203">
        <v>2.5</v>
      </c>
      <c r="G21" s="68"/>
      <c r="H21" s="68"/>
      <c r="L21" s="68">
        <f>N11*(D17+C19)*C12</f>
        <v>0.35999999999999993</v>
      </c>
    </row>
    <row r="22" spans="2:16" x14ac:dyDescent="0.2">
      <c r="E22" s="68"/>
      <c r="F22" s="203">
        <v>2.9</v>
      </c>
      <c r="G22" s="68"/>
      <c r="H22" s="68"/>
      <c r="N22" s="68">
        <f>0.5*H15^2*C12*D15</f>
        <v>2.9402999999999992</v>
      </c>
      <c r="O22" s="68">
        <f>H12*D15</f>
        <v>0.06</v>
      </c>
    </row>
    <row r="23" spans="2:16" x14ac:dyDescent="0.2">
      <c r="N23" s="68">
        <f>N22*H15/3</f>
        <v>3.2343299999999986</v>
      </c>
      <c r="O23" s="68">
        <f>O22*H15^2/2</f>
        <v>0.32669999999999993</v>
      </c>
    </row>
    <row r="24" spans="2:16" x14ac:dyDescent="0.2">
      <c r="N24" s="68">
        <f>N23+O23</f>
        <v>3.5610299999999984</v>
      </c>
    </row>
    <row r="25" spans="2:16" x14ac:dyDescent="0.2">
      <c r="B25" s="145" t="s">
        <v>219</v>
      </c>
      <c r="C25" s="146"/>
      <c r="D25" s="84">
        <f>M13/K18</f>
        <v>1.7416741788203025</v>
      </c>
    </row>
    <row r="26" spans="2:16" x14ac:dyDescent="0.2">
      <c r="B26" s="68"/>
      <c r="C26" s="140"/>
      <c r="D26" s="137"/>
    </row>
    <row r="27" spans="2:16" x14ac:dyDescent="0.2">
      <c r="B27" s="145" t="s">
        <v>220</v>
      </c>
      <c r="C27" s="147"/>
      <c r="D27" s="148"/>
      <c r="E27" s="149">
        <f>N18/N13</f>
        <v>3.0686805972388944</v>
      </c>
    </row>
    <row r="29" spans="2:16" ht="18" customHeight="1" x14ac:dyDescent="0.2">
      <c r="B29" s="145" t="s">
        <v>221</v>
      </c>
      <c r="C29" s="84">
        <f>L18/F22*(1+6*O17/F22)/10</f>
        <v>0.62422288941736037</v>
      </c>
      <c r="D29" s="68" t="s">
        <v>180</v>
      </c>
      <c r="F29" s="92" t="str">
        <f>IF(L29,"Unsafe stress","Safe stress")</f>
        <v>Safe stress</v>
      </c>
      <c r="G29" s="131"/>
      <c r="H29" s="131" t="str">
        <f>IF(M29,"Tension on soil","No tension on soil")</f>
        <v>No tension on soil</v>
      </c>
      <c r="I29" s="131"/>
      <c r="J29" s="131"/>
      <c r="L29" s="68" t="b">
        <f>C29&gt;C11</f>
        <v>0</v>
      </c>
      <c r="M29" s="68" t="b">
        <f>C29&lt;0</f>
        <v>0</v>
      </c>
    </row>
    <row r="30" spans="2:16" ht="18" customHeight="1" x14ac:dyDescent="0.2">
      <c r="B30" s="145" t="s">
        <v>222</v>
      </c>
      <c r="C30" s="84">
        <f>L18/F22*(1-6*O17/F22)/10</f>
        <v>0.41505297265160496</v>
      </c>
      <c r="D30" s="68" t="s">
        <v>180</v>
      </c>
      <c r="F30" s="92" t="str">
        <f>IF(L30,"Unsafe stress","Safe stress")</f>
        <v>Safe stress</v>
      </c>
      <c r="G30" s="131"/>
      <c r="H30" s="131" t="str">
        <f>IF(M30,"Tension on soil","No tension on soil")</f>
        <v>No tension on soil</v>
      </c>
      <c r="I30" s="131"/>
      <c r="J30" s="131"/>
      <c r="L30" s="68" t="b">
        <f>C30&gt;C11</f>
        <v>0</v>
      </c>
      <c r="M30" s="68" t="b">
        <f>C30&lt;0</f>
        <v>0</v>
      </c>
    </row>
    <row r="31" spans="2:16" ht="18" customHeight="1" x14ac:dyDescent="0.2">
      <c r="B31" s="84"/>
      <c r="C31" s="84"/>
      <c r="D31" s="68"/>
      <c r="F31" s="91"/>
    </row>
    <row r="33" spans="1:15" ht="13.5" thickBot="1" x14ac:dyDescent="0.25">
      <c r="A33" s="68"/>
      <c r="B33" s="150" t="s">
        <v>37</v>
      </c>
      <c r="C33" s="68"/>
      <c r="D33" s="68"/>
      <c r="E33" s="68"/>
      <c r="F33" s="91"/>
      <c r="G33" s="68"/>
      <c r="H33" s="68"/>
      <c r="I33" s="68"/>
    </row>
    <row r="34" spans="1:15" x14ac:dyDescent="0.2">
      <c r="A34" s="68"/>
      <c r="B34" s="68"/>
      <c r="C34" s="68"/>
      <c r="D34" s="68"/>
      <c r="E34" s="68"/>
      <c r="F34" s="91"/>
      <c r="G34" s="68"/>
      <c r="H34" s="68"/>
      <c r="I34" s="68"/>
      <c r="L34" s="140">
        <f>C29-C30</f>
        <v>0.20916991676575541</v>
      </c>
    </row>
    <row r="35" spans="1:15" ht="18" customHeight="1" thickBot="1" x14ac:dyDescent="0.3">
      <c r="A35" s="68"/>
      <c r="B35" s="68"/>
      <c r="C35" s="1" t="s">
        <v>89</v>
      </c>
      <c r="D35" s="21" t="s">
        <v>0</v>
      </c>
      <c r="E35" s="21" t="s">
        <v>1</v>
      </c>
      <c r="F35" s="21" t="s">
        <v>225</v>
      </c>
      <c r="G35" s="21" t="s">
        <v>226</v>
      </c>
      <c r="H35" s="68"/>
      <c r="I35" s="151"/>
      <c r="M35" s="68">
        <f>0.5*(0.87+(0.7569-3.386/D37^2)^0.5)</f>
        <v>0.8528977302404428</v>
      </c>
    </row>
    <row r="36" spans="1:15" x14ac:dyDescent="0.2">
      <c r="A36" s="68"/>
      <c r="B36" s="152" t="s">
        <v>223</v>
      </c>
      <c r="C36" s="137">
        <f>N24*1.5</f>
        <v>5.3415449999999973</v>
      </c>
      <c r="D36" s="84">
        <f>(G11*100-3)*($C$9*100/C36/10^5)^0.5</f>
        <v>4.5152364098573097</v>
      </c>
      <c r="E36" s="122">
        <f>MIN(L36:M36)</f>
        <v>0.81932300867889762</v>
      </c>
      <c r="F36" s="84">
        <f>C36*10^5/E36/(G11*100-3)/C10</f>
        <v>8.231643599115861</v>
      </c>
      <c r="G36" s="84">
        <f>0.15*(G11*100-3)</f>
        <v>3.3</v>
      </c>
      <c r="H36" s="153">
        <f>O36/N36+0.5</f>
        <v>7.7820626319142434</v>
      </c>
      <c r="I36" s="154" t="s">
        <v>5</v>
      </c>
      <c r="J36" s="208">
        <v>12</v>
      </c>
      <c r="L36" s="68">
        <f>0.5*(0.87+(0.7569-3.386/D36^2)^0.5)</f>
        <v>0.81932300867889762</v>
      </c>
      <c r="M36" s="68">
        <v>0.82599999999999996</v>
      </c>
      <c r="N36" s="68">
        <f>3.14/4*J36^2/100</f>
        <v>1.1304000000000001</v>
      </c>
      <c r="O36" s="140">
        <f>MAX(F36:G36)</f>
        <v>8.231643599115861</v>
      </c>
    </row>
    <row r="37" spans="1:15" x14ac:dyDescent="0.2">
      <c r="A37" s="68"/>
      <c r="B37" s="152" t="s">
        <v>224</v>
      </c>
      <c r="C37" s="137">
        <f>N39*1.5</f>
        <v>11.728207625676278</v>
      </c>
      <c r="D37" s="84">
        <f>(C19*100-5)*($C$9*100/C37/10^5)^0.5</f>
        <v>7.6179501371904328</v>
      </c>
      <c r="E37" s="122">
        <f>MIN(M35:M36)</f>
        <v>0.82599999999999996</v>
      </c>
      <c r="F37" s="84">
        <f>C37*10^5/E37/(C19*100-5)/C10</f>
        <v>7.1711103930811007</v>
      </c>
      <c r="G37" s="84">
        <f>0.15*(C19*100-5)</f>
        <v>8.25</v>
      </c>
      <c r="H37" s="153">
        <f>L43/N41+0.5</f>
        <v>4.6052945859872603</v>
      </c>
      <c r="I37" s="154" t="s">
        <v>5</v>
      </c>
      <c r="J37" s="208">
        <v>16</v>
      </c>
      <c r="L37" s="68">
        <f>(N11+E17)/F22*L34</f>
        <v>0.12622322563450758</v>
      </c>
      <c r="M37" s="140">
        <f>C29-L37</f>
        <v>0.49799966378285276</v>
      </c>
    </row>
    <row r="39" spans="1:15" x14ac:dyDescent="0.2">
      <c r="L39" s="68">
        <f>(M37+C29)/2</f>
        <v>0.56111127660010651</v>
      </c>
      <c r="M39" s="68">
        <f>L39*F22/F21</f>
        <v>0.65088908085612351</v>
      </c>
      <c r="N39" s="68">
        <f>M39*E17^2/2*10</f>
        <v>7.8188050837841852</v>
      </c>
    </row>
    <row r="41" spans="1:15" x14ac:dyDescent="0.2">
      <c r="L41" s="68">
        <f>(913.45*D37^3-2023.4*D37^2+1607.4*D37+1440.7)*C10/2000</f>
        <v>540165.6469444962</v>
      </c>
      <c r="M41" s="68">
        <f>1877*C10/2000</f>
        <v>3378.6</v>
      </c>
      <c r="N41" s="68">
        <f>3.14/4*J37^2/100</f>
        <v>2.0096000000000003</v>
      </c>
    </row>
    <row r="43" spans="1:15" x14ac:dyDescent="0.2">
      <c r="L43" s="140">
        <f>MAX(F37:G37)</f>
        <v>8.25</v>
      </c>
    </row>
  </sheetData>
  <sheetProtection sheet="1" objects="1" scenarios="1"/>
  <mergeCells count="1">
    <mergeCell ref="C5:J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&amp;R&amp;"Arial,Bold Italic"&amp;9Concrete design using the ultimate limit design method.</oddHeader>
    <oddFooter>&amp;L&amp;"Arial,Bold Italic"&amp;9By: Eng. Mahmoud El-Kateb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opLeftCell="C1" workbookViewId="0">
      <selection activeCell="C4" sqref="C4:J4"/>
    </sheetView>
  </sheetViews>
  <sheetFormatPr defaultColWidth="9.140625" defaultRowHeight="12.75" x14ac:dyDescent="0.2"/>
  <cols>
    <col min="1" max="1" width="4.5703125" style="30" customWidth="1"/>
    <col min="2" max="2" width="16.7109375" style="30" customWidth="1"/>
    <col min="3" max="3" width="7.7109375" style="30" customWidth="1"/>
    <col min="4" max="4" width="8" style="30" customWidth="1"/>
    <col min="5" max="5" width="7.7109375" style="30" customWidth="1"/>
    <col min="6" max="6" width="9.28515625" style="30" bestFit="1" customWidth="1"/>
    <col min="7" max="7" width="9.140625" style="30"/>
    <col min="8" max="8" width="6.7109375" style="30" customWidth="1"/>
    <col min="9" max="9" width="7.42578125" style="38" customWidth="1"/>
    <col min="10" max="10" width="9.140625" style="30"/>
    <col min="11" max="11" width="12.42578125" style="30" hidden="1" customWidth="1"/>
    <col min="12" max="13" width="9.140625" style="30" hidden="1" customWidth="1"/>
    <col min="14" max="14" width="10.28515625" style="30" hidden="1" customWidth="1"/>
    <col min="15" max="16384" width="9.140625" style="30"/>
  </cols>
  <sheetData>
    <row r="1" spans="1:13" ht="22.5" x14ac:dyDescent="0.3">
      <c r="A1" s="34" t="s">
        <v>62</v>
      </c>
    </row>
    <row r="2" spans="1:13" ht="12.75" customHeight="1" x14ac:dyDescent="0.3">
      <c r="A2" s="81"/>
    </row>
    <row r="4" spans="1:13" ht="18.75" x14ac:dyDescent="0.3">
      <c r="B4" s="35" t="s">
        <v>33</v>
      </c>
      <c r="C4" s="270"/>
      <c r="D4" s="270"/>
      <c r="E4" s="270"/>
      <c r="F4" s="270"/>
      <c r="G4" s="270"/>
      <c r="H4" s="270"/>
      <c r="I4" s="270"/>
      <c r="J4" s="270"/>
    </row>
    <row r="6" spans="1:13" ht="13.5" thickBot="1" x14ac:dyDescent="0.25">
      <c r="M6" s="51"/>
    </row>
    <row r="7" spans="1:13" ht="24" customHeight="1" thickTop="1" x14ac:dyDescent="0.3">
      <c r="B7" s="52" t="s">
        <v>64</v>
      </c>
      <c r="C7" s="165">
        <v>225</v>
      </c>
      <c r="D7" s="53" t="s">
        <v>8</v>
      </c>
    </row>
    <row r="8" spans="1:13" ht="24" customHeight="1" thickBot="1" x14ac:dyDescent="0.35">
      <c r="B8" s="54" t="s">
        <v>65</v>
      </c>
      <c r="C8" s="166">
        <v>3600</v>
      </c>
      <c r="D8" s="55" t="s">
        <v>8</v>
      </c>
    </row>
    <row r="9" spans="1:13" ht="22.5" customHeight="1" thickTop="1" x14ac:dyDescent="0.25">
      <c r="B9" s="50"/>
      <c r="C9" s="40"/>
      <c r="D9" s="50"/>
    </row>
    <row r="10" spans="1:13" ht="22.5" customHeight="1" x14ac:dyDescent="0.25">
      <c r="B10" s="50"/>
      <c r="C10" s="40"/>
      <c r="D10" s="50"/>
    </row>
    <row r="11" spans="1:13" ht="22.5" customHeight="1" x14ac:dyDescent="0.25">
      <c r="B11" s="50"/>
      <c r="C11" s="40"/>
      <c r="D11" s="50"/>
    </row>
    <row r="12" spans="1:13" ht="22.5" customHeight="1" x14ac:dyDescent="0.25">
      <c r="B12" s="50"/>
      <c r="C12" s="40"/>
      <c r="D12" s="50"/>
    </row>
    <row r="13" spans="1:13" ht="22.5" customHeight="1" x14ac:dyDescent="0.25">
      <c r="B13" s="50"/>
      <c r="C13" s="40"/>
      <c r="D13" s="50"/>
    </row>
    <row r="14" spans="1:13" ht="15" x14ac:dyDescent="0.25">
      <c r="B14" s="50"/>
      <c r="C14" s="40"/>
      <c r="D14" s="50"/>
      <c r="K14" s="30">
        <f>14000*C7^0.5</f>
        <v>210000</v>
      </c>
      <c r="L14" s="30">
        <f>0.75*C7^(2/3)</f>
        <v>27.74488583621779</v>
      </c>
    </row>
    <row r="15" spans="1:13" s="38" customFormat="1" x14ac:dyDescent="0.2">
      <c r="A15" s="2"/>
      <c r="B15" s="2"/>
      <c r="C15" s="2"/>
      <c r="D15" s="2" t="s">
        <v>6</v>
      </c>
      <c r="E15" s="2" t="s">
        <v>7</v>
      </c>
      <c r="F15" s="2" t="s">
        <v>93</v>
      </c>
      <c r="G15" s="2" t="s">
        <v>94</v>
      </c>
    </row>
    <row r="16" spans="1:13" s="38" customFormat="1" ht="13.5" thickBot="1" x14ac:dyDescent="0.25">
      <c r="A16" s="1" t="s">
        <v>10</v>
      </c>
      <c r="B16" s="4" t="s">
        <v>68</v>
      </c>
      <c r="C16" s="1"/>
      <c r="D16" s="1" t="s">
        <v>3</v>
      </c>
      <c r="E16" s="1" t="s">
        <v>4</v>
      </c>
      <c r="F16" s="1" t="s">
        <v>23</v>
      </c>
      <c r="G16" s="1" t="s">
        <v>66</v>
      </c>
      <c r="K16" s="38">
        <f>D17*F17^3/12</f>
        <v>714583.33333333337</v>
      </c>
      <c r="L16" s="38">
        <f>L14*K16*2/F17</f>
        <v>566458.08582277992</v>
      </c>
    </row>
    <row r="17" spans="1:13" s="38" customFormat="1" ht="14.25" x14ac:dyDescent="0.2">
      <c r="A17" s="184">
        <v>1</v>
      </c>
      <c r="B17" s="170"/>
      <c r="C17" s="170"/>
      <c r="D17" s="170">
        <v>25</v>
      </c>
      <c r="E17" s="170">
        <v>65</v>
      </c>
      <c r="F17" s="170">
        <v>70</v>
      </c>
      <c r="G17" s="170">
        <v>2.4</v>
      </c>
      <c r="J17" s="89"/>
    </row>
    <row r="18" spans="1:13" s="38" customFormat="1" x14ac:dyDescent="0.2">
      <c r="K18" s="38">
        <f>F17-E17</f>
        <v>5</v>
      </c>
    </row>
    <row r="19" spans="1:13" s="38" customFormat="1" x14ac:dyDescent="0.2">
      <c r="K19" s="38">
        <f>D17/2</f>
        <v>12.5</v>
      </c>
      <c r="L19" s="38">
        <f>14*G24+15*G21</f>
        <v>368.79300000000001</v>
      </c>
      <c r="M19" s="38">
        <f>-14*G24*K18-15*G21*E17</f>
        <v>-13289.264999999999</v>
      </c>
    </row>
    <row r="20" spans="1:13" s="38" customFormat="1" ht="15.75" customHeight="1" thickBot="1" x14ac:dyDescent="0.25">
      <c r="B20" s="4" t="s">
        <v>69</v>
      </c>
      <c r="C20" s="1"/>
      <c r="D20" s="1" t="s">
        <v>30</v>
      </c>
      <c r="E20" s="5" t="s">
        <v>5</v>
      </c>
      <c r="F20" s="1"/>
      <c r="G20" s="21" t="s">
        <v>67</v>
      </c>
      <c r="H20" s="90"/>
      <c r="K20" s="38">
        <f>(-L19+(L19^2-4*K19*M19)^0.5)/2/K19</f>
        <v>21.035909747699133</v>
      </c>
    </row>
    <row r="21" spans="1:13" s="38" customFormat="1" ht="14.25" x14ac:dyDescent="0.2">
      <c r="D21" s="209">
        <v>5</v>
      </c>
      <c r="E21" s="170">
        <v>18</v>
      </c>
      <c r="G21" s="135">
        <f>3.14*E21^2/400*D21</f>
        <v>12.717000000000001</v>
      </c>
      <c r="H21" s="136" t="s">
        <v>161</v>
      </c>
    </row>
    <row r="22" spans="1:13" s="38" customFormat="1" x14ac:dyDescent="0.2">
      <c r="G22" s="90"/>
      <c r="H22" s="136"/>
      <c r="K22" s="38">
        <f>D17*K20^3/3+14*G24*(K20-K18)^2+15*G21*(E17-K20)^2</f>
        <v>492053.25467324024</v>
      </c>
    </row>
    <row r="23" spans="1:13" s="38" customFormat="1" ht="15.75" customHeight="1" thickBot="1" x14ac:dyDescent="0.25">
      <c r="B23" s="4" t="s">
        <v>70</v>
      </c>
      <c r="C23" s="1"/>
      <c r="D23" s="1" t="s">
        <v>30</v>
      </c>
      <c r="E23" s="5" t="s">
        <v>5</v>
      </c>
      <c r="F23" s="1"/>
      <c r="G23" s="21" t="s">
        <v>67</v>
      </c>
      <c r="H23" s="136"/>
    </row>
    <row r="24" spans="1:13" s="38" customFormat="1" ht="14.25" x14ac:dyDescent="0.2">
      <c r="D24" s="209">
        <v>5</v>
      </c>
      <c r="E24" s="170">
        <v>18</v>
      </c>
      <c r="G24" s="135">
        <f>3.14*E24^2/400*D24</f>
        <v>12.717000000000001</v>
      </c>
      <c r="H24" s="136" t="s">
        <v>161</v>
      </c>
      <c r="K24" s="38">
        <f>2-1.2*(G24/G21)</f>
        <v>0.8</v>
      </c>
      <c r="L24" s="38">
        <v>0.6</v>
      </c>
      <c r="M24" s="38">
        <f>MAX(K24:L24)</f>
        <v>0.8</v>
      </c>
    </row>
    <row r="25" spans="1:13" s="38" customFormat="1" x14ac:dyDescent="0.2"/>
    <row r="26" spans="1:13" s="38" customFormat="1" x14ac:dyDescent="0.2"/>
    <row r="27" spans="1:13" s="38" customFormat="1" ht="15" thickBot="1" x14ac:dyDescent="0.3">
      <c r="B27" s="4" t="s">
        <v>75</v>
      </c>
      <c r="C27" s="1"/>
      <c r="D27" s="1" t="s">
        <v>71</v>
      </c>
      <c r="E27" s="1" t="s">
        <v>72</v>
      </c>
      <c r="F27" s="1" t="s">
        <v>73</v>
      </c>
      <c r="G27" s="1" t="s">
        <v>74</v>
      </c>
      <c r="K27" s="38">
        <f>(F28*G17^2/2+D28*G17)*10^5</f>
        <v>719999.99999999988</v>
      </c>
      <c r="L27" s="38">
        <f>(G28*G17^2/2+E28*G17)*10^5</f>
        <v>432000</v>
      </c>
      <c r="M27" s="38">
        <f>K27+L27</f>
        <v>1152000</v>
      </c>
    </row>
    <row r="28" spans="1:13" s="38" customFormat="1" x14ac:dyDescent="0.2">
      <c r="D28" s="210"/>
      <c r="E28" s="210"/>
      <c r="F28" s="210">
        <v>2.5</v>
      </c>
      <c r="G28" s="203">
        <v>1.5</v>
      </c>
      <c r="K28" s="38">
        <f>(L16/M27)^3*K16+(1-(L16/M27)^3)*K22</f>
        <v>518509.89087719732</v>
      </c>
    </row>
    <row r="29" spans="1:13" x14ac:dyDescent="0.2">
      <c r="B29" s="38"/>
      <c r="C29" s="38"/>
      <c r="D29" s="38"/>
      <c r="E29" s="38"/>
      <c r="F29" s="38"/>
      <c r="G29" s="38"/>
      <c r="H29" s="38"/>
    </row>
    <row r="30" spans="1:13" x14ac:dyDescent="0.2">
      <c r="B30" s="38"/>
      <c r="C30" s="38"/>
      <c r="D30" s="38"/>
      <c r="E30" s="38"/>
      <c r="F30" s="38"/>
      <c r="G30" s="38"/>
      <c r="H30" s="38"/>
    </row>
    <row r="31" spans="1:13" ht="13.5" thickBot="1" x14ac:dyDescent="0.25">
      <c r="B31" s="20" t="s">
        <v>76</v>
      </c>
      <c r="C31" s="90"/>
      <c r="D31" s="138">
        <f>K31+L31</f>
        <v>0.15234865738172493</v>
      </c>
      <c r="E31" s="139" t="s">
        <v>78</v>
      </c>
      <c r="F31" s="38"/>
      <c r="G31" s="38"/>
      <c r="H31" s="38"/>
      <c r="K31" s="30">
        <f>F28*10*(G17*100)^4/8/K14/K28+D28*1000*(G17*100)^3/3/K14/K28</f>
        <v>9.5217910863578087E-2</v>
      </c>
      <c r="L31" s="30">
        <f>G28*10*(G17*100)^4/8/K14/K28+E28*1000*(G17*100)^3/3/K14/K28</f>
        <v>5.7130746518146848E-2</v>
      </c>
    </row>
    <row r="32" spans="1:13" x14ac:dyDescent="0.2">
      <c r="B32" s="90"/>
      <c r="C32" s="90"/>
      <c r="D32" s="92"/>
      <c r="E32" s="139"/>
      <c r="F32" s="38"/>
      <c r="G32" s="38"/>
      <c r="H32" s="38"/>
    </row>
    <row r="33" spans="2:11" ht="13.5" thickBot="1" x14ac:dyDescent="0.25">
      <c r="B33" s="20" t="s">
        <v>95</v>
      </c>
      <c r="C33" s="90"/>
      <c r="D33" s="138">
        <f>D31+K31*M24</f>
        <v>0.22852298607258742</v>
      </c>
      <c r="E33" s="139" t="s">
        <v>78</v>
      </c>
      <c r="F33" s="38"/>
      <c r="G33" s="38"/>
      <c r="H33" s="38"/>
      <c r="J33" s="96"/>
    </row>
    <row r="34" spans="2:11" x14ac:dyDescent="0.2">
      <c r="B34" s="90"/>
      <c r="C34" s="90"/>
      <c r="D34" s="92"/>
      <c r="E34" s="90"/>
      <c r="F34" s="38"/>
      <c r="G34" s="38"/>
      <c r="H34" s="38"/>
    </row>
    <row r="35" spans="2:11" ht="13.5" thickBot="1" x14ac:dyDescent="0.25">
      <c r="B35" s="20" t="s">
        <v>77</v>
      </c>
      <c r="C35" s="90"/>
      <c r="D35" s="138">
        <f>G17*100/450</f>
        <v>0.53333333333333333</v>
      </c>
      <c r="E35" s="139" t="s">
        <v>78</v>
      </c>
      <c r="F35" s="100"/>
      <c r="H35" s="38"/>
      <c r="K35" s="30" t="b">
        <f>D33&gt;D35</f>
        <v>0</v>
      </c>
    </row>
    <row r="36" spans="2:11" x14ac:dyDescent="0.2">
      <c r="B36" s="90"/>
      <c r="C36" s="90"/>
      <c r="D36" s="90"/>
      <c r="E36" s="38"/>
      <c r="F36" s="38"/>
      <c r="G36" s="38"/>
      <c r="H36" s="38"/>
    </row>
    <row r="37" spans="2:11" ht="13.5" thickBot="1" x14ac:dyDescent="0.25">
      <c r="B37" s="20" t="s">
        <v>96</v>
      </c>
      <c r="C37" s="97"/>
      <c r="D37" s="92" t="str">
        <f>IF(K35,"Unsafe","Safe")</f>
        <v>Safe</v>
      </c>
    </row>
    <row r="38" spans="2:11" x14ac:dyDescent="0.2">
      <c r="D38" s="101"/>
      <c r="E38" s="101"/>
      <c r="F38" s="102"/>
      <c r="G38" s="38"/>
    </row>
  </sheetData>
  <sheetProtection sheet="1" objects="1" scenarios="1"/>
  <mergeCells count="1">
    <mergeCell ref="C4:J4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&amp;R&amp;"Arial,Bold Italic"&amp;9Concrete design according to the Egyptian code1995.</oddHeader>
    <oddFooter>&amp;L&amp;"Arial,Bold Italic"&amp;9By: Eng. Mahmoud El-Kateb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19" workbookViewId="0">
      <selection activeCell="C4" sqref="C4:J4"/>
    </sheetView>
  </sheetViews>
  <sheetFormatPr defaultColWidth="9.140625" defaultRowHeight="12.75" x14ac:dyDescent="0.2"/>
  <cols>
    <col min="1" max="1" width="4.5703125" style="30" customWidth="1"/>
    <col min="2" max="2" width="16.7109375" style="30" customWidth="1"/>
    <col min="3" max="3" width="7.7109375" style="30" customWidth="1"/>
    <col min="4" max="4" width="8" style="30" customWidth="1"/>
    <col min="5" max="5" width="7.7109375" style="30" customWidth="1"/>
    <col min="6" max="6" width="9.28515625" style="30" customWidth="1"/>
    <col min="7" max="7" width="9.140625" style="30"/>
    <col min="8" max="8" width="6.7109375" style="30" customWidth="1"/>
    <col min="9" max="9" width="7.42578125" style="38" customWidth="1"/>
    <col min="10" max="10" width="9.140625" style="30"/>
    <col min="11" max="11" width="12.42578125" style="30" hidden="1" customWidth="1"/>
    <col min="12" max="13" width="9.140625" style="30" hidden="1" customWidth="1"/>
    <col min="14" max="14" width="10.28515625" style="30" customWidth="1"/>
    <col min="15" max="16384" width="9.140625" style="30"/>
  </cols>
  <sheetData>
    <row r="1" spans="1:13" ht="22.5" x14ac:dyDescent="0.3">
      <c r="A1" s="34" t="s">
        <v>79</v>
      </c>
    </row>
    <row r="2" spans="1:13" ht="12.75" customHeight="1" x14ac:dyDescent="0.3">
      <c r="A2" s="81"/>
    </row>
    <row r="4" spans="1:13" ht="18.75" x14ac:dyDescent="0.3">
      <c r="B4" s="35" t="s">
        <v>33</v>
      </c>
      <c r="C4" s="270"/>
      <c r="D4" s="270"/>
      <c r="E4" s="270"/>
      <c r="F4" s="270"/>
      <c r="G4" s="270"/>
      <c r="H4" s="270"/>
      <c r="I4" s="270"/>
      <c r="J4" s="270"/>
    </row>
    <row r="6" spans="1:13" ht="13.5" thickBot="1" x14ac:dyDescent="0.25">
      <c r="M6" s="51"/>
    </row>
    <row r="7" spans="1:13" ht="24" customHeight="1" thickTop="1" x14ac:dyDescent="0.3">
      <c r="B7" s="52" t="s">
        <v>64</v>
      </c>
      <c r="C7" s="165">
        <v>225</v>
      </c>
      <c r="D7" s="53" t="s">
        <v>8</v>
      </c>
    </row>
    <row r="8" spans="1:13" ht="24" customHeight="1" thickBot="1" x14ac:dyDescent="0.35">
      <c r="B8" s="54" t="s">
        <v>65</v>
      </c>
      <c r="C8" s="166">
        <v>3600</v>
      </c>
      <c r="D8" s="55" t="s">
        <v>8</v>
      </c>
    </row>
    <row r="9" spans="1:13" ht="22.5" customHeight="1" thickTop="1" x14ac:dyDescent="0.25">
      <c r="B9" s="50"/>
      <c r="C9" s="40"/>
      <c r="D9" s="50"/>
    </row>
    <row r="10" spans="1:13" ht="22.5" customHeight="1" x14ac:dyDescent="0.25">
      <c r="B10" s="50"/>
      <c r="C10" s="40"/>
      <c r="D10" s="50"/>
    </row>
    <row r="11" spans="1:13" ht="22.5" customHeight="1" x14ac:dyDescent="0.25">
      <c r="B11" s="50"/>
      <c r="C11" s="40"/>
      <c r="D11" s="50"/>
    </row>
    <row r="12" spans="1:13" ht="22.5" customHeight="1" x14ac:dyDescent="0.25">
      <c r="B12" s="50"/>
      <c r="C12" s="40"/>
      <c r="D12" s="50"/>
    </row>
    <row r="13" spans="1:13" ht="22.5" customHeight="1" x14ac:dyDescent="0.25">
      <c r="B13" s="50"/>
      <c r="C13" s="40"/>
      <c r="D13" s="50"/>
    </row>
    <row r="14" spans="1:13" ht="15" x14ac:dyDescent="0.25">
      <c r="B14" s="50"/>
      <c r="C14" s="40"/>
      <c r="D14" s="50"/>
      <c r="K14" s="30">
        <f>14000*C7^0.5</f>
        <v>210000</v>
      </c>
      <c r="L14" s="30">
        <f>0.75*C7^(2/3)</f>
        <v>27.74488583621779</v>
      </c>
    </row>
    <row r="15" spans="1:13" s="38" customFormat="1" x14ac:dyDescent="0.2">
      <c r="A15" s="2"/>
      <c r="B15" s="2"/>
      <c r="C15" s="2"/>
      <c r="D15" s="2" t="s">
        <v>6</v>
      </c>
      <c r="E15" s="2" t="s">
        <v>7</v>
      </c>
      <c r="F15" s="2" t="s">
        <v>93</v>
      </c>
      <c r="G15" s="2" t="s">
        <v>94</v>
      </c>
    </row>
    <row r="16" spans="1:13" s="38" customFormat="1" ht="13.5" thickBot="1" x14ac:dyDescent="0.25">
      <c r="A16" s="1" t="s">
        <v>10</v>
      </c>
      <c r="B16" s="4" t="s">
        <v>68</v>
      </c>
      <c r="C16" s="1"/>
      <c r="D16" s="1" t="s">
        <v>3</v>
      </c>
      <c r="E16" s="1" t="s">
        <v>4</v>
      </c>
      <c r="F16" s="1" t="s">
        <v>23</v>
      </c>
      <c r="G16" s="1" t="s">
        <v>66</v>
      </c>
      <c r="K16" s="38">
        <f>D17*F17^3/12</f>
        <v>714583.33333333337</v>
      </c>
      <c r="L16" s="38">
        <f>L14*K16*2/F17</f>
        <v>566458.08582277992</v>
      </c>
    </row>
    <row r="17" spans="1:13" s="38" customFormat="1" x14ac:dyDescent="0.2">
      <c r="A17" s="184">
        <v>1</v>
      </c>
      <c r="B17" s="170"/>
      <c r="C17" s="170"/>
      <c r="D17" s="170">
        <v>25</v>
      </c>
      <c r="E17" s="170">
        <v>65</v>
      </c>
      <c r="F17" s="170">
        <v>70</v>
      </c>
      <c r="G17" s="170">
        <v>6</v>
      </c>
    </row>
    <row r="18" spans="1:13" s="38" customFormat="1" x14ac:dyDescent="0.2">
      <c r="K18" s="38">
        <f>F17-E17</f>
        <v>5</v>
      </c>
    </row>
    <row r="19" spans="1:13" s="38" customFormat="1" x14ac:dyDescent="0.2">
      <c r="K19" s="38">
        <f>D17/2</f>
        <v>12.5</v>
      </c>
      <c r="L19" s="38">
        <f>14*G21+15*G24</f>
        <v>214.02240000000003</v>
      </c>
      <c r="M19" s="38">
        <f>-14*G21*K18-15*G24*E17</f>
        <v>-10113.312000000002</v>
      </c>
    </row>
    <row r="20" spans="1:13" s="38" customFormat="1" ht="15.75" customHeight="1" thickBot="1" x14ac:dyDescent="0.25">
      <c r="B20" s="4" t="s">
        <v>69</v>
      </c>
      <c r="C20" s="1"/>
      <c r="D20" s="1" t="s">
        <v>30</v>
      </c>
      <c r="E20" s="5" t="s">
        <v>5</v>
      </c>
      <c r="F20" s="1"/>
      <c r="G20" s="21" t="s">
        <v>67</v>
      </c>
      <c r="H20" s="90"/>
      <c r="K20" s="38">
        <f>(-L19+(L19^2-4*K19*M19)^0.5)/2/K19</f>
        <v>21.143546434134596</v>
      </c>
    </row>
    <row r="21" spans="1:13" s="38" customFormat="1" ht="14.25" x14ac:dyDescent="0.2">
      <c r="D21" s="209">
        <v>4</v>
      </c>
      <c r="E21" s="170">
        <v>12</v>
      </c>
      <c r="G21" s="135">
        <f>3.14*E21^2/400*D21</f>
        <v>4.5216000000000003</v>
      </c>
      <c r="H21" s="136" t="s">
        <v>161</v>
      </c>
    </row>
    <row r="22" spans="1:13" s="38" customFormat="1" x14ac:dyDescent="0.2">
      <c r="G22" s="90"/>
      <c r="H22" s="136"/>
      <c r="K22" s="38">
        <f>D17*K20^3/3+14*G21*(K20-K18)^2+15*G24*(E17-K20)^2</f>
        <v>385159.05711811432</v>
      </c>
    </row>
    <row r="23" spans="1:13" s="38" customFormat="1" ht="15.75" customHeight="1" thickBot="1" x14ac:dyDescent="0.25">
      <c r="B23" s="4" t="s">
        <v>70</v>
      </c>
      <c r="C23" s="1"/>
      <c r="D23" s="1" t="s">
        <v>30</v>
      </c>
      <c r="E23" s="5" t="s">
        <v>5</v>
      </c>
      <c r="F23" s="1"/>
      <c r="G23" s="21" t="s">
        <v>67</v>
      </c>
      <c r="H23" s="136"/>
    </row>
    <row r="24" spans="1:13" s="38" customFormat="1" ht="14.25" x14ac:dyDescent="0.2">
      <c r="D24" s="209">
        <v>5</v>
      </c>
      <c r="E24" s="170">
        <v>16</v>
      </c>
      <c r="G24" s="135">
        <f>3.14*E24^2/400*D24</f>
        <v>10.048000000000002</v>
      </c>
      <c r="H24" s="136" t="s">
        <v>161</v>
      </c>
      <c r="K24" s="38">
        <f>2-1.2*(G21/G24)</f>
        <v>1.46</v>
      </c>
      <c r="L24" s="38">
        <v>0.6</v>
      </c>
      <c r="M24" s="38">
        <f>MAX(K24:L24)</f>
        <v>1.46</v>
      </c>
    </row>
    <row r="25" spans="1:13" s="38" customFormat="1" x14ac:dyDescent="0.2"/>
    <row r="26" spans="1:13" s="38" customFormat="1" x14ac:dyDescent="0.2"/>
    <row r="27" spans="1:13" s="38" customFormat="1" ht="15" thickBot="1" x14ac:dyDescent="0.3">
      <c r="B27" s="4" t="s">
        <v>75</v>
      </c>
      <c r="C27" s="1"/>
      <c r="D27" s="1" t="s">
        <v>71</v>
      </c>
      <c r="E27" s="1" t="s">
        <v>72</v>
      </c>
      <c r="F27" s="1" t="s">
        <v>73</v>
      </c>
      <c r="G27" s="1" t="s">
        <v>74</v>
      </c>
      <c r="K27" s="38">
        <f>(F28*G17^2/8+D28*G17/4)*10^5</f>
        <v>1125000</v>
      </c>
      <c r="L27" s="38">
        <f>(G28*G17^2/8+E28*G17/4)*10^5</f>
        <v>825000</v>
      </c>
      <c r="M27" s="38">
        <f>K27+L27</f>
        <v>1950000</v>
      </c>
    </row>
    <row r="28" spans="1:13" s="38" customFormat="1" x14ac:dyDescent="0.2">
      <c r="D28" s="210">
        <v>1.5</v>
      </c>
      <c r="E28" s="210">
        <v>1</v>
      </c>
      <c r="F28" s="210">
        <v>2</v>
      </c>
      <c r="G28" s="203">
        <v>1.5</v>
      </c>
      <c r="K28" s="38">
        <f>(L16/M27)^3*K16+(1-(L16/M27)^3)*K22</f>
        <v>393234.29096425406</v>
      </c>
    </row>
    <row r="29" spans="1:13" x14ac:dyDescent="0.2">
      <c r="B29" s="38"/>
      <c r="C29" s="38"/>
      <c r="D29" s="38"/>
      <c r="E29" s="38"/>
      <c r="F29" s="38"/>
      <c r="G29" s="38"/>
      <c r="H29" s="38"/>
    </row>
    <row r="30" spans="1:13" x14ac:dyDescent="0.2">
      <c r="B30" s="38"/>
      <c r="C30" s="38"/>
      <c r="D30" s="38"/>
      <c r="E30" s="38"/>
      <c r="F30" s="38"/>
      <c r="G30" s="38"/>
      <c r="H30" s="38"/>
    </row>
    <row r="31" spans="1:13" ht="13.5" thickBot="1" x14ac:dyDescent="0.25">
      <c r="B31" s="20" t="s">
        <v>76</v>
      </c>
      <c r="C31" s="90"/>
      <c r="D31" s="138">
        <f>K31+L31</f>
        <v>0.85145531878821989</v>
      </c>
      <c r="E31" s="139" t="s">
        <v>78</v>
      </c>
      <c r="F31" s="38"/>
      <c r="G31" s="38"/>
      <c r="H31" s="38"/>
      <c r="J31" s="95"/>
      <c r="K31" s="30">
        <f>F28*50*(G17*100)^4/384/K14/K28+D28*1000*(G17*100)^3/48/K14/K28</f>
        <v>0.4904382636220147</v>
      </c>
      <c r="L31" s="30">
        <f>G28*50*(G17*100)^4/384/K14/K28+E28*1000*(G17*100)^3/48/K14/K28</f>
        <v>0.36101705516620525</v>
      </c>
    </row>
    <row r="32" spans="1:13" x14ac:dyDescent="0.2">
      <c r="B32" s="90"/>
      <c r="C32" s="90"/>
      <c r="D32" s="92"/>
      <c r="E32" s="139"/>
      <c r="F32" s="38"/>
      <c r="G32" s="38"/>
      <c r="H32" s="38"/>
    </row>
    <row r="33" spans="2:11" ht="13.5" thickBot="1" x14ac:dyDescent="0.25">
      <c r="B33" s="20" t="s">
        <v>95</v>
      </c>
      <c r="C33" s="90"/>
      <c r="D33" s="138">
        <f>D31+K31*M24</f>
        <v>1.5674951836763613</v>
      </c>
      <c r="E33" s="139" t="s">
        <v>78</v>
      </c>
      <c r="F33" s="38"/>
      <c r="G33" s="38"/>
      <c r="H33" s="38"/>
    </row>
    <row r="34" spans="2:11" x14ac:dyDescent="0.2">
      <c r="B34" s="90"/>
      <c r="C34" s="90"/>
      <c r="D34" s="92"/>
      <c r="E34" s="90"/>
      <c r="F34" s="38"/>
      <c r="G34" s="38"/>
      <c r="H34" s="38"/>
    </row>
    <row r="35" spans="2:11" ht="13.5" thickBot="1" x14ac:dyDescent="0.25">
      <c r="B35" s="20" t="s">
        <v>77</v>
      </c>
      <c r="C35" s="90"/>
      <c r="D35" s="138">
        <f>G17*100/250</f>
        <v>2.4</v>
      </c>
      <c r="E35" s="139" t="s">
        <v>78</v>
      </c>
      <c r="F35" s="100"/>
      <c r="H35" s="38"/>
      <c r="K35" s="30" t="b">
        <f>D33&gt;D35</f>
        <v>0</v>
      </c>
    </row>
    <row r="36" spans="2:11" x14ac:dyDescent="0.2">
      <c r="B36" s="90"/>
      <c r="C36" s="90"/>
      <c r="D36" s="90"/>
      <c r="E36" s="38"/>
      <c r="F36" s="38"/>
      <c r="G36" s="38"/>
      <c r="H36" s="38"/>
    </row>
    <row r="37" spans="2:11" ht="13.5" thickBot="1" x14ac:dyDescent="0.25">
      <c r="B37" s="20" t="s">
        <v>96</v>
      </c>
      <c r="C37" s="97"/>
      <c r="D37" s="92" t="str">
        <f>IF(K35,"Unsafe","Safe")</f>
        <v>Safe</v>
      </c>
    </row>
    <row r="38" spans="2:11" x14ac:dyDescent="0.2">
      <c r="D38" s="101"/>
      <c r="E38" s="101"/>
      <c r="F38" s="102"/>
      <c r="G38" s="38"/>
    </row>
  </sheetData>
  <mergeCells count="1">
    <mergeCell ref="C4:J4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&amp;R&amp;"Arial,Bold Italic"&amp;9Concrete design according to the Egyptian code 1995.</oddHeader>
    <oddFooter>&amp;L&amp;"Arial,Bold Italic"&amp;9By: Eng. Mahmoud El-Kateb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workbookViewId="0">
      <selection activeCell="C23" sqref="C23"/>
    </sheetView>
  </sheetViews>
  <sheetFormatPr defaultColWidth="9.140625" defaultRowHeight="12.75" x14ac:dyDescent="0.2"/>
  <cols>
    <col min="1" max="1" width="5.5703125" style="30" customWidth="1"/>
    <col min="2" max="2" width="13.140625" style="30" customWidth="1"/>
    <col min="3" max="3" width="8.7109375" style="30" customWidth="1"/>
    <col min="4" max="4" width="9.140625" style="30"/>
    <col min="5" max="5" width="8.28515625" style="30" customWidth="1"/>
    <col min="6" max="7" width="8" style="30" customWidth="1"/>
    <col min="8" max="8" width="6.42578125" style="30" customWidth="1"/>
    <col min="9" max="9" width="6.28515625" style="30" customWidth="1"/>
    <col min="10" max="10" width="6.5703125" style="30" customWidth="1"/>
    <col min="11" max="11" width="6.7109375" style="30" customWidth="1"/>
    <col min="12" max="12" width="10.28515625" style="30" hidden="1" customWidth="1"/>
    <col min="13" max="13" width="0" style="30" hidden="1" customWidth="1"/>
    <col min="14" max="16384" width="9.140625" style="30"/>
  </cols>
  <sheetData>
    <row r="1" spans="1:13" ht="22.5" x14ac:dyDescent="0.3">
      <c r="A1" s="34" t="s">
        <v>98</v>
      </c>
    </row>
    <row r="4" spans="1:13" ht="18.75" x14ac:dyDescent="0.3">
      <c r="B4" s="35" t="s">
        <v>33</v>
      </c>
      <c r="C4" s="270"/>
      <c r="D4" s="270"/>
      <c r="E4" s="270"/>
      <c r="F4" s="270"/>
      <c r="G4" s="270"/>
      <c r="H4" s="270"/>
      <c r="I4" s="270"/>
      <c r="J4" s="270"/>
      <c r="K4" s="270"/>
    </row>
    <row r="5" spans="1:13" ht="15.75" x14ac:dyDescent="0.25">
      <c r="B5" s="36"/>
    </row>
    <row r="6" spans="1:13" ht="15.75" x14ac:dyDescent="0.25">
      <c r="B6" s="36"/>
    </row>
    <row r="7" spans="1:13" ht="13.5" thickBot="1" x14ac:dyDescent="0.25">
      <c r="B7" s="11" t="s">
        <v>167</v>
      </c>
    </row>
    <row r="8" spans="1:13" ht="16.5" thickBot="1" x14ac:dyDescent="0.3">
      <c r="B8" s="36"/>
    </row>
    <row r="9" spans="1:13" x14ac:dyDescent="0.2">
      <c r="A9" s="268" t="s">
        <v>99</v>
      </c>
      <c r="B9" s="6" t="s">
        <v>168</v>
      </c>
      <c r="C9" s="6" t="s">
        <v>169</v>
      </c>
      <c r="D9" s="7" t="s">
        <v>170</v>
      </c>
      <c r="E9" s="7" t="s">
        <v>171</v>
      </c>
      <c r="F9" s="7" t="s">
        <v>172</v>
      </c>
      <c r="G9" s="7" t="s">
        <v>173</v>
      </c>
      <c r="H9" s="264" t="s">
        <v>174</v>
      </c>
      <c r="I9" s="265"/>
      <c r="J9" s="264" t="s">
        <v>175</v>
      </c>
      <c r="K9" s="271"/>
    </row>
    <row r="10" spans="1:13" ht="15.75" thickBot="1" x14ac:dyDescent="0.3">
      <c r="A10" s="269"/>
      <c r="B10" s="8" t="s">
        <v>3</v>
      </c>
      <c r="C10" s="8" t="s">
        <v>176</v>
      </c>
      <c r="D10" s="8" t="s">
        <v>23</v>
      </c>
      <c r="E10" s="8" t="s">
        <v>177</v>
      </c>
      <c r="F10" s="8" t="s">
        <v>178</v>
      </c>
      <c r="G10" s="8" t="s">
        <v>178</v>
      </c>
      <c r="H10" s="272" t="s">
        <v>182</v>
      </c>
      <c r="I10" s="273"/>
      <c r="J10" s="272" t="s">
        <v>183</v>
      </c>
      <c r="K10" s="274"/>
    </row>
    <row r="11" spans="1:13" x14ac:dyDescent="0.2">
      <c r="A11" s="155">
        <v>1</v>
      </c>
      <c r="B11" s="156">
        <v>12</v>
      </c>
      <c r="C11" s="156">
        <v>40</v>
      </c>
      <c r="D11" s="156">
        <v>32</v>
      </c>
      <c r="E11" s="156">
        <v>7</v>
      </c>
      <c r="F11" s="156">
        <v>150</v>
      </c>
      <c r="G11" s="156">
        <v>200</v>
      </c>
      <c r="H11" s="275">
        <f>((E11/100*2.5+2*B11*L11*2.5/10000+10*(L11-5)/1000)*100/M11+F11/1000)*1.4+G11/1000*1.6</f>
        <v>1.2367307692307692</v>
      </c>
      <c r="I11" s="275"/>
      <c r="J11" s="275">
        <f>((E11/100*2.5+4*B11*L11*2.5/10000+8*(L11-5)/1000)*100/M11+F11/1000)*1.4+G11/1000*1.6</f>
        <v>1.3848076923076924</v>
      </c>
      <c r="K11" s="276"/>
      <c r="L11" s="30">
        <f>D11-E11</f>
        <v>25</v>
      </c>
      <c r="M11" s="30">
        <f>2*C11+2*B11</f>
        <v>104</v>
      </c>
    </row>
    <row r="12" spans="1:13" x14ac:dyDescent="0.2">
      <c r="A12" s="157">
        <v>2</v>
      </c>
      <c r="B12" s="158">
        <v>12</v>
      </c>
      <c r="C12" s="158">
        <v>40</v>
      </c>
      <c r="D12" s="158">
        <v>27</v>
      </c>
      <c r="E12" s="158">
        <v>7</v>
      </c>
      <c r="F12" s="158">
        <v>150</v>
      </c>
      <c r="G12" s="158">
        <v>200</v>
      </c>
      <c r="H12" s="259">
        <f>((E12/100*2.5+2*B12*L12*2.5/10000+10*(L12-5)/1000)*100/M12+F12/1000)*1.4+G12/1000*1.6</f>
        <v>1.1290384615384617</v>
      </c>
      <c r="I12" s="259"/>
      <c r="J12" s="259">
        <f>((E12/100*2.5+4*B12*L12*2.5/10000+8*(L12-5)/1000)*100/M12+F12/1000)*1.4+G12/1000*1.6</f>
        <v>1.2501923076923076</v>
      </c>
      <c r="K12" s="260"/>
      <c r="L12" s="30">
        <f>D12-E12</f>
        <v>20</v>
      </c>
      <c r="M12" s="30">
        <f>2*C12+2*B12</f>
        <v>104</v>
      </c>
    </row>
    <row r="13" spans="1:13" x14ac:dyDescent="0.2">
      <c r="A13" s="157">
        <v>3</v>
      </c>
      <c r="B13" s="158">
        <v>12</v>
      </c>
      <c r="C13" s="158">
        <v>40</v>
      </c>
      <c r="D13" s="158">
        <v>30</v>
      </c>
      <c r="E13" s="158">
        <v>5</v>
      </c>
      <c r="F13" s="158">
        <v>150</v>
      </c>
      <c r="G13" s="158">
        <v>200</v>
      </c>
      <c r="H13" s="259">
        <f>((E13/100*2.5+2*B13*L13*2.5/10000+10*(L13-5)/1000)*100/M13+F13/1000)*1.4+G13/1000*1.6</f>
        <v>1.1694230769230769</v>
      </c>
      <c r="I13" s="259"/>
      <c r="J13" s="259">
        <f>((E13/100*2.5+4*B13*L13*2.5/10000+8*(L13-5)/1000)*100/M13+F13/1000)*1.4+G13/1000*1.6</f>
        <v>1.3174999999999999</v>
      </c>
      <c r="K13" s="260"/>
      <c r="L13" s="30">
        <f>D13-E13</f>
        <v>25</v>
      </c>
      <c r="M13" s="30">
        <f>2*C13+2*B13</f>
        <v>104</v>
      </c>
    </row>
    <row r="14" spans="1:13" x14ac:dyDescent="0.2">
      <c r="A14" s="157">
        <v>4</v>
      </c>
      <c r="B14" s="158">
        <v>12</v>
      </c>
      <c r="C14" s="158">
        <v>40</v>
      </c>
      <c r="D14" s="158">
        <v>32</v>
      </c>
      <c r="E14" s="158">
        <v>7</v>
      </c>
      <c r="F14" s="158">
        <v>150</v>
      </c>
      <c r="G14" s="158">
        <v>200</v>
      </c>
      <c r="H14" s="259">
        <f>((E14/100*2.5+2*B14*L14*2.5/10000+10*(L14-5)/1000)*100/M14+F14/1000)*1.4+G14/1000*1.6</f>
        <v>1.2367307692307692</v>
      </c>
      <c r="I14" s="259"/>
      <c r="J14" s="259">
        <f>((E14/100*2.5+4*B14*L14*2.5/10000+8*(L14-5)/1000)*100/M14+F14/1000)*1.4+G14/1000*1.6</f>
        <v>1.3848076923076924</v>
      </c>
      <c r="K14" s="260"/>
      <c r="L14" s="30">
        <f>D14-E14</f>
        <v>25</v>
      </c>
      <c r="M14" s="30">
        <f>2*C14+2*B14</f>
        <v>104</v>
      </c>
    </row>
    <row r="15" spans="1:13" ht="13.5" thickBot="1" x14ac:dyDescent="0.25">
      <c r="A15" s="159">
        <v>5</v>
      </c>
      <c r="B15" s="160">
        <v>12</v>
      </c>
      <c r="C15" s="160">
        <v>40</v>
      </c>
      <c r="D15" s="160">
        <v>32</v>
      </c>
      <c r="E15" s="160">
        <v>7</v>
      </c>
      <c r="F15" s="160">
        <v>150</v>
      </c>
      <c r="G15" s="160">
        <v>200</v>
      </c>
      <c r="H15" s="249">
        <f>((E15/100*2.5+2*B15*L15*2.5/10000+10*(L15-5)/1000)*100/M15+F15/1000)*1.4+G15/1000*1.6</f>
        <v>1.2367307692307692</v>
      </c>
      <c r="I15" s="249"/>
      <c r="J15" s="249">
        <f>((E15/100*2.5+4*B15*L15*2.5/10000+8*(L15-5)/1000)*100/M15+F15/1000)*1.4+G15/1000*1.6</f>
        <v>1.3848076923076924</v>
      </c>
      <c r="K15" s="250"/>
      <c r="L15" s="30">
        <f>D15-E15</f>
        <v>25</v>
      </c>
      <c r="M15" s="30">
        <f>2*C15+2*B15</f>
        <v>104</v>
      </c>
    </row>
    <row r="16" spans="1:13" x14ac:dyDescent="0.2">
      <c r="A16" s="38"/>
      <c r="B16" s="38"/>
      <c r="C16" s="38"/>
      <c r="D16" s="38"/>
      <c r="E16" s="38"/>
      <c r="F16" s="38"/>
      <c r="G16" s="38"/>
      <c r="H16" s="261"/>
      <c r="I16" s="261"/>
      <c r="J16" s="261"/>
      <c r="K16" s="261"/>
    </row>
    <row r="17" spans="1:12" x14ac:dyDescent="0.2">
      <c r="A17" s="38"/>
      <c r="B17" s="38"/>
      <c r="C17" s="38"/>
      <c r="D17" s="38"/>
      <c r="E17" s="38"/>
      <c r="F17" s="38"/>
      <c r="G17" s="38"/>
      <c r="H17" s="39"/>
      <c r="I17" s="39"/>
      <c r="J17" s="39"/>
      <c r="K17" s="39"/>
    </row>
    <row r="19" spans="1:12" ht="15.75" thickBot="1" x14ac:dyDescent="0.3">
      <c r="B19" s="11" t="s">
        <v>101</v>
      </c>
      <c r="C19" s="40"/>
      <c r="D19" s="41"/>
      <c r="E19" s="41"/>
      <c r="F19" s="41"/>
      <c r="G19" s="41"/>
      <c r="H19" s="41"/>
      <c r="I19" s="41"/>
      <c r="J19" s="41"/>
      <c r="K19" s="41"/>
    </row>
    <row r="20" spans="1:12" ht="13.5" thickBot="1" x14ac:dyDescent="0.25"/>
    <row r="21" spans="1:12" ht="15" customHeight="1" x14ac:dyDescent="0.2">
      <c r="A21" s="268" t="s">
        <v>99</v>
      </c>
      <c r="B21" s="262" t="s">
        <v>100</v>
      </c>
      <c r="C21" s="263"/>
      <c r="D21" s="262" t="s">
        <v>107</v>
      </c>
      <c r="E21" s="263"/>
      <c r="F21" s="264" t="s">
        <v>106</v>
      </c>
      <c r="G21" s="265"/>
      <c r="H21" s="264" t="s">
        <v>105</v>
      </c>
      <c r="I21" s="265"/>
      <c r="J21" s="266" t="s">
        <v>110</v>
      </c>
      <c r="K21" s="267"/>
    </row>
    <row r="22" spans="1:12" ht="15" customHeight="1" thickBot="1" x14ac:dyDescent="0.25">
      <c r="A22" s="269"/>
      <c r="B22" s="10" t="s">
        <v>103</v>
      </c>
      <c r="C22" s="10" t="s">
        <v>111</v>
      </c>
      <c r="D22" s="10" t="s">
        <v>103</v>
      </c>
      <c r="E22" s="10" t="s">
        <v>111</v>
      </c>
      <c r="F22" s="12" t="s">
        <v>108</v>
      </c>
      <c r="G22" s="12" t="s">
        <v>109</v>
      </c>
      <c r="H22" s="12" t="s">
        <v>108</v>
      </c>
      <c r="I22" s="12" t="s">
        <v>109</v>
      </c>
      <c r="J22" s="13" t="s">
        <v>108</v>
      </c>
      <c r="K22" s="14" t="s">
        <v>109</v>
      </c>
    </row>
    <row r="23" spans="1:12" ht="15" customHeight="1" x14ac:dyDescent="0.2">
      <c r="A23" s="161">
        <v>1</v>
      </c>
      <c r="B23" s="162">
        <v>6</v>
      </c>
      <c r="C23" s="162">
        <v>1</v>
      </c>
      <c r="D23" s="162">
        <v>4</v>
      </c>
      <c r="E23" s="162">
        <v>1</v>
      </c>
      <c r="F23" s="42">
        <f>0.5*L23-0.15</f>
        <v>0.6</v>
      </c>
      <c r="G23" s="42">
        <f>0.35/L23^2</f>
        <v>0.15555555555555556</v>
      </c>
      <c r="H23" s="42">
        <f>0.8*J23</f>
        <v>0.66804123711340213</v>
      </c>
      <c r="I23" s="42">
        <f>0.8*K23</f>
        <v>0.13195876288659794</v>
      </c>
      <c r="J23" s="43">
        <f>L23^4/(1+L23^4)</f>
        <v>0.83505154639175261</v>
      </c>
      <c r="K23" s="44">
        <f>1/(1+L23^4)</f>
        <v>0.16494845360824742</v>
      </c>
      <c r="L23" s="30">
        <f>B23*C23/D23/E23</f>
        <v>1.5</v>
      </c>
    </row>
    <row r="24" spans="1:12" ht="15" customHeight="1" x14ac:dyDescent="0.2">
      <c r="A24" s="161">
        <v>2</v>
      </c>
      <c r="B24" s="162">
        <v>5</v>
      </c>
      <c r="C24" s="162">
        <v>1</v>
      </c>
      <c r="D24" s="162">
        <v>4</v>
      </c>
      <c r="E24" s="162">
        <v>1</v>
      </c>
      <c r="F24" s="42">
        <f>0.5*L24-0.15</f>
        <v>0.47499999999999998</v>
      </c>
      <c r="G24" s="42">
        <f>0.35/L24^2</f>
        <v>0.22399999999999998</v>
      </c>
      <c r="H24" s="42">
        <f t="shared" ref="H24:I31" si="0">0.8*J24</f>
        <v>0.56753688989784334</v>
      </c>
      <c r="I24" s="42">
        <f t="shared" si="0"/>
        <v>0.23246311010215664</v>
      </c>
      <c r="J24" s="45">
        <f t="shared" ref="J24:J31" si="1">L24^4/(1+L24^4)</f>
        <v>0.70942111237230421</v>
      </c>
      <c r="K24" s="44">
        <f>1/(1+L24^4)</f>
        <v>0.29057888762769579</v>
      </c>
      <c r="L24" s="30">
        <f>B24*C24/D24/E24</f>
        <v>1.25</v>
      </c>
    </row>
    <row r="25" spans="1:12" ht="15" customHeight="1" x14ac:dyDescent="0.2">
      <c r="A25" s="161">
        <v>3</v>
      </c>
      <c r="B25" s="162">
        <v>5</v>
      </c>
      <c r="C25" s="162">
        <v>1</v>
      </c>
      <c r="D25" s="162">
        <v>4</v>
      </c>
      <c r="E25" s="162">
        <v>1</v>
      </c>
      <c r="F25" s="42">
        <f t="shared" ref="F25:F31" si="2">0.5*L25-0.15</f>
        <v>0.47499999999999998</v>
      </c>
      <c r="G25" s="42">
        <f t="shared" ref="G25:G31" si="3">0.35/L25^2</f>
        <v>0.22399999999999998</v>
      </c>
      <c r="H25" s="42">
        <f t="shared" si="0"/>
        <v>0.56753688989784334</v>
      </c>
      <c r="I25" s="42">
        <f t="shared" si="0"/>
        <v>0.23246311010215664</v>
      </c>
      <c r="J25" s="45">
        <f t="shared" si="1"/>
        <v>0.70942111237230421</v>
      </c>
      <c r="K25" s="44">
        <f t="shared" ref="K25:K32" si="4">1/(1+L25^4)</f>
        <v>0.29057888762769579</v>
      </c>
      <c r="L25" s="30">
        <f t="shared" ref="L25:L31" si="5">B25*C25/D25/E25</f>
        <v>1.25</v>
      </c>
    </row>
    <row r="26" spans="1:12" ht="15" customHeight="1" x14ac:dyDescent="0.2">
      <c r="A26" s="161">
        <v>4</v>
      </c>
      <c r="B26" s="162">
        <v>5</v>
      </c>
      <c r="C26" s="162">
        <v>1</v>
      </c>
      <c r="D26" s="162">
        <v>4</v>
      </c>
      <c r="E26" s="162">
        <v>1</v>
      </c>
      <c r="F26" s="42">
        <f t="shared" si="2"/>
        <v>0.47499999999999998</v>
      </c>
      <c r="G26" s="42">
        <f t="shared" si="3"/>
        <v>0.22399999999999998</v>
      </c>
      <c r="H26" s="42">
        <f t="shared" si="0"/>
        <v>0.56753688989784334</v>
      </c>
      <c r="I26" s="42">
        <f t="shared" si="0"/>
        <v>0.23246311010215664</v>
      </c>
      <c r="J26" s="45">
        <f t="shared" si="1"/>
        <v>0.70942111237230421</v>
      </c>
      <c r="K26" s="44">
        <f t="shared" si="4"/>
        <v>0.29057888762769579</v>
      </c>
      <c r="L26" s="30">
        <f t="shared" si="5"/>
        <v>1.25</v>
      </c>
    </row>
    <row r="27" spans="1:12" ht="15" customHeight="1" x14ac:dyDescent="0.2">
      <c r="A27" s="161">
        <v>5</v>
      </c>
      <c r="B27" s="162">
        <v>5</v>
      </c>
      <c r="C27" s="162">
        <v>1</v>
      </c>
      <c r="D27" s="162">
        <v>4</v>
      </c>
      <c r="E27" s="162">
        <v>1</v>
      </c>
      <c r="F27" s="42">
        <f t="shared" si="2"/>
        <v>0.47499999999999998</v>
      </c>
      <c r="G27" s="42">
        <f t="shared" si="3"/>
        <v>0.22399999999999998</v>
      </c>
      <c r="H27" s="42">
        <f t="shared" si="0"/>
        <v>0.56753688989784334</v>
      </c>
      <c r="I27" s="42">
        <f t="shared" si="0"/>
        <v>0.23246311010215664</v>
      </c>
      <c r="J27" s="45">
        <f t="shared" si="1"/>
        <v>0.70942111237230421</v>
      </c>
      <c r="K27" s="44">
        <f t="shared" si="4"/>
        <v>0.29057888762769579</v>
      </c>
      <c r="L27" s="30">
        <f t="shared" si="5"/>
        <v>1.25</v>
      </c>
    </row>
    <row r="28" spans="1:12" ht="15" customHeight="1" x14ac:dyDescent="0.2">
      <c r="A28" s="161">
        <v>6</v>
      </c>
      <c r="B28" s="162">
        <v>5</v>
      </c>
      <c r="C28" s="162">
        <v>1</v>
      </c>
      <c r="D28" s="162">
        <v>4</v>
      </c>
      <c r="E28" s="162">
        <v>1</v>
      </c>
      <c r="F28" s="42">
        <f t="shared" si="2"/>
        <v>0.47499999999999998</v>
      </c>
      <c r="G28" s="42">
        <f t="shared" si="3"/>
        <v>0.22399999999999998</v>
      </c>
      <c r="H28" s="42">
        <f t="shared" si="0"/>
        <v>0.56753688989784334</v>
      </c>
      <c r="I28" s="42">
        <f t="shared" si="0"/>
        <v>0.23246311010215664</v>
      </c>
      <c r="J28" s="45">
        <f t="shared" si="1"/>
        <v>0.70942111237230421</v>
      </c>
      <c r="K28" s="44">
        <f t="shared" si="4"/>
        <v>0.29057888762769579</v>
      </c>
      <c r="L28" s="30">
        <f t="shared" si="5"/>
        <v>1.25</v>
      </c>
    </row>
    <row r="29" spans="1:12" ht="15" customHeight="1" x14ac:dyDescent="0.2">
      <c r="A29" s="161">
        <v>7</v>
      </c>
      <c r="B29" s="162">
        <v>5</v>
      </c>
      <c r="C29" s="162">
        <v>1</v>
      </c>
      <c r="D29" s="162">
        <v>4</v>
      </c>
      <c r="E29" s="162">
        <v>1</v>
      </c>
      <c r="F29" s="42">
        <f t="shared" si="2"/>
        <v>0.47499999999999998</v>
      </c>
      <c r="G29" s="42">
        <f t="shared" si="3"/>
        <v>0.22399999999999998</v>
      </c>
      <c r="H29" s="42">
        <f t="shared" si="0"/>
        <v>0.56753688989784334</v>
      </c>
      <c r="I29" s="42">
        <f t="shared" si="0"/>
        <v>0.23246311010215664</v>
      </c>
      <c r="J29" s="45">
        <f t="shared" si="1"/>
        <v>0.70942111237230421</v>
      </c>
      <c r="K29" s="44">
        <f t="shared" si="4"/>
        <v>0.29057888762769579</v>
      </c>
      <c r="L29" s="30">
        <f t="shared" si="5"/>
        <v>1.25</v>
      </c>
    </row>
    <row r="30" spans="1:12" ht="15" customHeight="1" x14ac:dyDescent="0.2">
      <c r="A30" s="161">
        <v>8</v>
      </c>
      <c r="B30" s="162">
        <v>5</v>
      </c>
      <c r="C30" s="162">
        <v>1</v>
      </c>
      <c r="D30" s="162">
        <v>4</v>
      </c>
      <c r="E30" s="162">
        <v>1</v>
      </c>
      <c r="F30" s="42">
        <f t="shared" si="2"/>
        <v>0.47499999999999998</v>
      </c>
      <c r="G30" s="42">
        <f t="shared" si="3"/>
        <v>0.22399999999999998</v>
      </c>
      <c r="H30" s="42">
        <f t="shared" si="0"/>
        <v>0.56753688989784334</v>
      </c>
      <c r="I30" s="42">
        <f t="shared" si="0"/>
        <v>0.23246311010215664</v>
      </c>
      <c r="J30" s="45">
        <f t="shared" si="1"/>
        <v>0.70942111237230421</v>
      </c>
      <c r="K30" s="44">
        <f t="shared" si="4"/>
        <v>0.29057888762769579</v>
      </c>
      <c r="L30" s="30">
        <f t="shared" si="5"/>
        <v>1.25</v>
      </c>
    </row>
    <row r="31" spans="1:12" ht="15" customHeight="1" x14ac:dyDescent="0.2">
      <c r="A31" s="161">
        <v>9</v>
      </c>
      <c r="B31" s="162">
        <v>5</v>
      </c>
      <c r="C31" s="162">
        <v>1</v>
      </c>
      <c r="D31" s="162">
        <v>4</v>
      </c>
      <c r="E31" s="162">
        <v>1</v>
      </c>
      <c r="F31" s="42">
        <f t="shared" si="2"/>
        <v>0.47499999999999998</v>
      </c>
      <c r="G31" s="42">
        <f t="shared" si="3"/>
        <v>0.22399999999999998</v>
      </c>
      <c r="H31" s="42">
        <f t="shared" si="0"/>
        <v>0.56753688989784334</v>
      </c>
      <c r="I31" s="42">
        <f t="shared" si="0"/>
        <v>0.23246311010215664</v>
      </c>
      <c r="J31" s="45">
        <f t="shared" si="1"/>
        <v>0.70942111237230421</v>
      </c>
      <c r="K31" s="44">
        <f t="shared" si="4"/>
        <v>0.29057888762769579</v>
      </c>
      <c r="L31" s="30">
        <f t="shared" si="5"/>
        <v>1.25</v>
      </c>
    </row>
    <row r="32" spans="1:12" ht="15" customHeight="1" thickBot="1" x14ac:dyDescent="0.25">
      <c r="A32" s="163">
        <v>10</v>
      </c>
      <c r="B32" s="160">
        <v>5</v>
      </c>
      <c r="C32" s="164">
        <v>1</v>
      </c>
      <c r="D32" s="164">
        <v>4</v>
      </c>
      <c r="E32" s="164">
        <v>1</v>
      </c>
      <c r="F32" s="47">
        <f>0.5*L32-0.15</f>
        <v>0.47499999999999998</v>
      </c>
      <c r="G32" s="47">
        <f>0.35/L32^2</f>
        <v>0.22399999999999998</v>
      </c>
      <c r="H32" s="37">
        <f>0.8*J32</f>
        <v>0.56753688989784334</v>
      </c>
      <c r="I32" s="37">
        <f>0.8*K32</f>
        <v>0.23246311010215664</v>
      </c>
      <c r="J32" s="48">
        <f>L32^4/(1+L32^4)</f>
        <v>0.70942111237230421</v>
      </c>
      <c r="K32" s="49">
        <f t="shared" si="4"/>
        <v>0.29057888762769579</v>
      </c>
      <c r="L32" s="30">
        <f>B32*C32/D32/E32</f>
        <v>1.25</v>
      </c>
    </row>
    <row r="36" spans="1:12" ht="15.75" thickBot="1" x14ac:dyDescent="0.3">
      <c r="B36" s="11" t="s">
        <v>112</v>
      </c>
      <c r="C36" s="40"/>
      <c r="D36" s="50"/>
    </row>
    <row r="37" spans="1:12" ht="13.5" thickBot="1" x14ac:dyDescent="0.25"/>
    <row r="38" spans="1:12" x14ac:dyDescent="0.2">
      <c r="A38" s="268" t="s">
        <v>99</v>
      </c>
      <c r="B38" s="6" t="s">
        <v>114</v>
      </c>
      <c r="C38" s="7" t="s">
        <v>102</v>
      </c>
      <c r="D38" s="6" t="s">
        <v>104</v>
      </c>
      <c r="E38" s="251" t="s">
        <v>116</v>
      </c>
      <c r="F38" s="252"/>
      <c r="G38" s="251" t="s">
        <v>121</v>
      </c>
      <c r="H38" s="252"/>
      <c r="I38" s="252"/>
      <c r="J38" s="253"/>
      <c r="K38" s="39"/>
    </row>
    <row r="39" spans="1:12" ht="15" thickBot="1" x14ac:dyDescent="0.25">
      <c r="A39" s="269"/>
      <c r="B39" s="8" t="s">
        <v>115</v>
      </c>
      <c r="C39" s="8" t="s">
        <v>113</v>
      </c>
      <c r="D39" s="8" t="s">
        <v>113</v>
      </c>
      <c r="E39" s="15" t="s">
        <v>117</v>
      </c>
      <c r="F39" s="15" t="s">
        <v>118</v>
      </c>
      <c r="G39" s="254" t="s">
        <v>119</v>
      </c>
      <c r="H39" s="255"/>
      <c r="I39" s="254" t="s">
        <v>120</v>
      </c>
      <c r="J39" s="256"/>
      <c r="K39" s="39"/>
    </row>
    <row r="40" spans="1:12" x14ac:dyDescent="0.2">
      <c r="A40" s="161">
        <v>1</v>
      </c>
      <c r="B40" s="162">
        <v>0.85</v>
      </c>
      <c r="C40" s="162">
        <v>5</v>
      </c>
      <c r="D40" s="162">
        <v>4</v>
      </c>
      <c r="E40" s="42">
        <f>1-1/2/L40</f>
        <v>0.6</v>
      </c>
      <c r="F40" s="42">
        <f>1-1/3/L40^2</f>
        <v>0.78666666666666663</v>
      </c>
      <c r="G40" s="257">
        <f>E40*B40*D40/2</f>
        <v>1.02</v>
      </c>
      <c r="H40" s="257"/>
      <c r="I40" s="257">
        <f>F40*B40*D40/2</f>
        <v>1.3373333333333333</v>
      </c>
      <c r="J40" s="258"/>
      <c r="K40" s="39"/>
      <c r="L40" s="30">
        <f>C40/D40</f>
        <v>1.25</v>
      </c>
    </row>
    <row r="41" spans="1:12" x14ac:dyDescent="0.2">
      <c r="A41" s="161">
        <v>2</v>
      </c>
      <c r="B41" s="162">
        <v>0.85</v>
      </c>
      <c r="C41" s="162">
        <v>5</v>
      </c>
      <c r="D41" s="162">
        <v>4</v>
      </c>
      <c r="E41" s="42">
        <f t="shared" ref="E41:E49" si="6">1-1/2/L41</f>
        <v>0.6</v>
      </c>
      <c r="F41" s="42">
        <f t="shared" ref="F41:F49" si="7">1-1/3/L41^2</f>
        <v>0.78666666666666663</v>
      </c>
      <c r="G41" s="247">
        <f t="shared" ref="G41:G49" si="8">E41*B41*D41/2</f>
        <v>1.02</v>
      </c>
      <c r="H41" s="247"/>
      <c r="I41" s="247">
        <f t="shared" ref="I41:I49" si="9">F41*B41*D41/2</f>
        <v>1.3373333333333333</v>
      </c>
      <c r="J41" s="248"/>
      <c r="K41" s="39"/>
      <c r="L41" s="30">
        <f t="shared" ref="L41:L49" si="10">C41/D41</f>
        <v>1.25</v>
      </c>
    </row>
    <row r="42" spans="1:12" x14ac:dyDescent="0.2">
      <c r="A42" s="161">
        <v>3</v>
      </c>
      <c r="B42" s="162">
        <v>0.85</v>
      </c>
      <c r="C42" s="162">
        <v>5</v>
      </c>
      <c r="D42" s="162">
        <v>4</v>
      </c>
      <c r="E42" s="42">
        <f t="shared" si="6"/>
        <v>0.6</v>
      </c>
      <c r="F42" s="42">
        <f t="shared" si="7"/>
        <v>0.78666666666666663</v>
      </c>
      <c r="G42" s="247">
        <f t="shared" si="8"/>
        <v>1.02</v>
      </c>
      <c r="H42" s="247"/>
      <c r="I42" s="247">
        <f t="shared" si="9"/>
        <v>1.3373333333333333</v>
      </c>
      <c r="J42" s="248"/>
      <c r="K42" s="39"/>
      <c r="L42" s="30">
        <f t="shared" si="10"/>
        <v>1.25</v>
      </c>
    </row>
    <row r="43" spans="1:12" x14ac:dyDescent="0.2">
      <c r="A43" s="161">
        <v>4</v>
      </c>
      <c r="B43" s="162">
        <v>0.85</v>
      </c>
      <c r="C43" s="162">
        <v>5</v>
      </c>
      <c r="D43" s="162">
        <v>4</v>
      </c>
      <c r="E43" s="42">
        <f t="shared" si="6"/>
        <v>0.6</v>
      </c>
      <c r="F43" s="42">
        <f t="shared" si="7"/>
        <v>0.78666666666666663</v>
      </c>
      <c r="G43" s="247">
        <f t="shared" si="8"/>
        <v>1.02</v>
      </c>
      <c r="H43" s="247"/>
      <c r="I43" s="247">
        <f t="shared" si="9"/>
        <v>1.3373333333333333</v>
      </c>
      <c r="J43" s="248"/>
      <c r="K43" s="39"/>
      <c r="L43" s="30">
        <f t="shared" si="10"/>
        <v>1.25</v>
      </c>
    </row>
    <row r="44" spans="1:12" x14ac:dyDescent="0.2">
      <c r="A44" s="161">
        <v>5</v>
      </c>
      <c r="B44" s="162">
        <v>0.85</v>
      </c>
      <c r="C44" s="162">
        <v>5</v>
      </c>
      <c r="D44" s="162">
        <v>4</v>
      </c>
      <c r="E44" s="42">
        <f t="shared" si="6"/>
        <v>0.6</v>
      </c>
      <c r="F44" s="42">
        <f t="shared" si="7"/>
        <v>0.78666666666666663</v>
      </c>
      <c r="G44" s="247">
        <f t="shared" si="8"/>
        <v>1.02</v>
      </c>
      <c r="H44" s="247"/>
      <c r="I44" s="247">
        <f t="shared" si="9"/>
        <v>1.3373333333333333</v>
      </c>
      <c r="J44" s="248"/>
      <c r="K44" s="39"/>
      <c r="L44" s="30">
        <f t="shared" si="10"/>
        <v>1.25</v>
      </c>
    </row>
    <row r="45" spans="1:12" x14ac:dyDescent="0.2">
      <c r="A45" s="161">
        <v>6</v>
      </c>
      <c r="B45" s="162">
        <v>0.85</v>
      </c>
      <c r="C45" s="162">
        <v>5</v>
      </c>
      <c r="D45" s="162">
        <v>4</v>
      </c>
      <c r="E45" s="42">
        <f t="shared" si="6"/>
        <v>0.6</v>
      </c>
      <c r="F45" s="42">
        <f t="shared" si="7"/>
        <v>0.78666666666666663</v>
      </c>
      <c r="G45" s="247">
        <f t="shared" si="8"/>
        <v>1.02</v>
      </c>
      <c r="H45" s="247"/>
      <c r="I45" s="247">
        <f t="shared" si="9"/>
        <v>1.3373333333333333</v>
      </c>
      <c r="J45" s="248"/>
      <c r="K45" s="39"/>
      <c r="L45" s="30">
        <f t="shared" si="10"/>
        <v>1.25</v>
      </c>
    </row>
    <row r="46" spans="1:12" x14ac:dyDescent="0.2">
      <c r="A46" s="161">
        <v>7</v>
      </c>
      <c r="B46" s="162">
        <v>0.85</v>
      </c>
      <c r="C46" s="162">
        <v>5</v>
      </c>
      <c r="D46" s="162">
        <v>4</v>
      </c>
      <c r="E46" s="42">
        <f t="shared" si="6"/>
        <v>0.6</v>
      </c>
      <c r="F46" s="42">
        <f t="shared" si="7"/>
        <v>0.78666666666666663</v>
      </c>
      <c r="G46" s="247">
        <f t="shared" si="8"/>
        <v>1.02</v>
      </c>
      <c r="H46" s="247"/>
      <c r="I46" s="247">
        <f t="shared" si="9"/>
        <v>1.3373333333333333</v>
      </c>
      <c r="J46" s="248"/>
      <c r="K46" s="39"/>
      <c r="L46" s="30">
        <f t="shared" si="10"/>
        <v>1.25</v>
      </c>
    </row>
    <row r="47" spans="1:12" x14ac:dyDescent="0.2">
      <c r="A47" s="161">
        <v>8</v>
      </c>
      <c r="B47" s="162">
        <v>0.85</v>
      </c>
      <c r="C47" s="162">
        <v>5</v>
      </c>
      <c r="D47" s="162">
        <v>4</v>
      </c>
      <c r="E47" s="42">
        <f t="shared" si="6"/>
        <v>0.6</v>
      </c>
      <c r="F47" s="42">
        <f t="shared" si="7"/>
        <v>0.78666666666666663</v>
      </c>
      <c r="G47" s="247">
        <f t="shared" si="8"/>
        <v>1.02</v>
      </c>
      <c r="H47" s="247"/>
      <c r="I47" s="247">
        <f t="shared" si="9"/>
        <v>1.3373333333333333</v>
      </c>
      <c r="J47" s="248"/>
      <c r="K47" s="39"/>
      <c r="L47" s="30">
        <f t="shared" si="10"/>
        <v>1.25</v>
      </c>
    </row>
    <row r="48" spans="1:12" x14ac:dyDescent="0.2">
      <c r="A48" s="161">
        <v>9</v>
      </c>
      <c r="B48" s="162">
        <v>0.85</v>
      </c>
      <c r="C48" s="162">
        <v>5</v>
      </c>
      <c r="D48" s="162">
        <v>4</v>
      </c>
      <c r="E48" s="42">
        <f t="shared" si="6"/>
        <v>0.6</v>
      </c>
      <c r="F48" s="42">
        <f t="shared" si="7"/>
        <v>0.78666666666666663</v>
      </c>
      <c r="G48" s="247">
        <f t="shared" si="8"/>
        <v>1.02</v>
      </c>
      <c r="H48" s="247"/>
      <c r="I48" s="247">
        <f t="shared" si="9"/>
        <v>1.3373333333333333</v>
      </c>
      <c r="J48" s="248"/>
      <c r="K48" s="39"/>
      <c r="L48" s="30">
        <f t="shared" si="10"/>
        <v>1.25</v>
      </c>
    </row>
    <row r="49" spans="1:12" ht="13.5" thickBot="1" x14ac:dyDescent="0.25">
      <c r="A49" s="163">
        <v>10</v>
      </c>
      <c r="B49" s="160">
        <v>0.85</v>
      </c>
      <c r="C49" s="160">
        <v>5</v>
      </c>
      <c r="D49" s="160">
        <v>4</v>
      </c>
      <c r="E49" s="37">
        <f t="shared" si="6"/>
        <v>0.6</v>
      </c>
      <c r="F49" s="37">
        <f t="shared" si="7"/>
        <v>0.78666666666666663</v>
      </c>
      <c r="G49" s="249">
        <f t="shared" si="8"/>
        <v>1.02</v>
      </c>
      <c r="H49" s="249"/>
      <c r="I49" s="249">
        <f t="shared" si="9"/>
        <v>1.3373333333333333</v>
      </c>
      <c r="J49" s="250"/>
      <c r="K49" s="39"/>
      <c r="L49" s="30">
        <f t="shared" si="10"/>
        <v>1.25</v>
      </c>
    </row>
  </sheetData>
  <sheetProtection sheet="1" objects="1" scenarios="1"/>
  <mergeCells count="49">
    <mergeCell ref="A9:A10"/>
    <mergeCell ref="A21:A22"/>
    <mergeCell ref="A38:A39"/>
    <mergeCell ref="C4:K4"/>
    <mergeCell ref="J9:K9"/>
    <mergeCell ref="H9:I9"/>
    <mergeCell ref="H10:I10"/>
    <mergeCell ref="J10:K10"/>
    <mergeCell ref="H11:I11"/>
    <mergeCell ref="J11:K11"/>
    <mergeCell ref="H14:I14"/>
    <mergeCell ref="J14:K14"/>
    <mergeCell ref="H15:I15"/>
    <mergeCell ref="J15:K15"/>
    <mergeCell ref="H12:I12"/>
    <mergeCell ref="J12:K12"/>
    <mergeCell ref="G47:H47"/>
    <mergeCell ref="G41:H41"/>
    <mergeCell ref="G42:H42"/>
    <mergeCell ref="G40:H40"/>
    <mergeCell ref="G45:H45"/>
    <mergeCell ref="G46:H46"/>
    <mergeCell ref="G43:H43"/>
    <mergeCell ref="G44:H44"/>
    <mergeCell ref="H13:I13"/>
    <mergeCell ref="J13:K13"/>
    <mergeCell ref="H16:I16"/>
    <mergeCell ref="J16:K16"/>
    <mergeCell ref="B21:C21"/>
    <mergeCell ref="D21:E21"/>
    <mergeCell ref="F21:G21"/>
    <mergeCell ref="H21:I21"/>
    <mergeCell ref="J21:K21"/>
    <mergeCell ref="G48:H48"/>
    <mergeCell ref="I48:J48"/>
    <mergeCell ref="G49:H49"/>
    <mergeCell ref="I49:J49"/>
    <mergeCell ref="E38:F38"/>
    <mergeCell ref="G38:J38"/>
    <mergeCell ref="G39:H39"/>
    <mergeCell ref="I39:J39"/>
    <mergeCell ref="I47:J47"/>
    <mergeCell ref="I40:J40"/>
    <mergeCell ref="I41:J41"/>
    <mergeCell ref="I42:J42"/>
    <mergeCell ref="I43:J43"/>
    <mergeCell ref="I44:J44"/>
    <mergeCell ref="I45:J45"/>
    <mergeCell ref="I46:J46"/>
  </mergeCells>
  <phoneticPr fontId="0" type="noConversion"/>
  <pageMargins left="0.75" right="0.75" top="1" bottom="1" header="0.5" footer="0.5"/>
  <pageSetup paperSize="9" orientation="portrait" r:id="rId1"/>
  <headerFooter alignWithMargins="0">
    <oddHeader>&amp;R&amp;"Arial,Bold Italic"&amp;9Concrete design according to the Egyptian code 1995.</oddHeader>
    <oddFooter>&amp;L&amp;"Arial,Bold Italic"&amp;9By: Eng. Mahmoud El-Kateb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abSelected="1" workbookViewId="0">
      <selection activeCell="C4" sqref="C4:M4"/>
    </sheetView>
  </sheetViews>
  <sheetFormatPr defaultColWidth="9.140625" defaultRowHeight="12.75" x14ac:dyDescent="0.2"/>
  <cols>
    <col min="1" max="1" width="4.5703125" style="30" customWidth="1"/>
    <col min="2" max="2" width="14.85546875" style="30" customWidth="1"/>
    <col min="3" max="3" width="7.7109375" style="30" customWidth="1"/>
    <col min="4" max="4" width="7.42578125" style="30" customWidth="1"/>
    <col min="5" max="5" width="6.5703125" style="30" customWidth="1"/>
    <col min="6" max="6" width="6.7109375" style="30" customWidth="1"/>
    <col min="7" max="9" width="5.5703125" style="30" customWidth="1"/>
    <col min="10" max="10" width="3.7109375" style="30" customWidth="1"/>
    <col min="11" max="11" width="2.42578125" style="30" customWidth="1"/>
    <col min="12" max="12" width="4.42578125" style="30" customWidth="1"/>
    <col min="13" max="13" width="7.42578125" style="38" customWidth="1"/>
    <col min="14" max="16" width="9.140625" style="30" hidden="1" customWidth="1"/>
    <col min="17" max="17" width="10.28515625" style="30" customWidth="1"/>
    <col min="18" max="16384" width="9.140625" style="30"/>
  </cols>
  <sheetData>
    <row r="1" spans="1:16" ht="22.5" x14ac:dyDescent="0.3">
      <c r="A1" s="34" t="s">
        <v>42</v>
      </c>
    </row>
    <row r="4" spans="1:16" ht="18.75" x14ac:dyDescent="0.3">
      <c r="B4" s="35" t="s">
        <v>33</v>
      </c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</row>
    <row r="5" spans="1:16" ht="15.75" x14ac:dyDescent="0.25">
      <c r="B5" s="36"/>
    </row>
    <row r="6" spans="1:16" ht="13.5" thickBot="1" x14ac:dyDescent="0.25">
      <c r="P6" s="51"/>
    </row>
    <row r="7" spans="1:16" ht="22.5" customHeight="1" thickTop="1" x14ac:dyDescent="0.3">
      <c r="B7" s="52" t="s">
        <v>9</v>
      </c>
      <c r="C7" s="165">
        <v>225</v>
      </c>
      <c r="D7" s="53" t="s">
        <v>8</v>
      </c>
    </row>
    <row r="8" spans="1:16" ht="22.5" customHeight="1" thickBot="1" x14ac:dyDescent="0.35">
      <c r="B8" s="54" t="s">
        <v>44</v>
      </c>
      <c r="C8" s="166">
        <v>3600</v>
      </c>
      <c r="D8" s="55" t="s">
        <v>8</v>
      </c>
    </row>
    <row r="9" spans="1:16" ht="15.75" thickTop="1" x14ac:dyDescent="0.25">
      <c r="B9" s="50"/>
      <c r="C9" s="40"/>
      <c r="D9" s="50"/>
    </row>
    <row r="10" spans="1:16" ht="13.5" thickBot="1" x14ac:dyDescent="0.25"/>
    <row r="11" spans="1:16" ht="15" customHeight="1" x14ac:dyDescent="0.25">
      <c r="A11" s="268" t="s">
        <v>10</v>
      </c>
      <c r="B11" s="6" t="s">
        <v>91</v>
      </c>
      <c r="C11" s="6" t="s">
        <v>6</v>
      </c>
      <c r="D11" s="6" t="s">
        <v>7</v>
      </c>
      <c r="E11" s="277" t="s">
        <v>0</v>
      </c>
      <c r="F11" s="277" t="s">
        <v>1</v>
      </c>
      <c r="G11" s="16" t="s">
        <v>2</v>
      </c>
      <c r="H11" s="16" t="s">
        <v>160</v>
      </c>
      <c r="I11" s="16" t="s">
        <v>12</v>
      </c>
      <c r="J11" s="281" t="s">
        <v>203</v>
      </c>
      <c r="K11" s="282"/>
      <c r="L11" s="283"/>
      <c r="M11" s="279" t="s">
        <v>13</v>
      </c>
    </row>
    <row r="12" spans="1:16" ht="17.25" customHeight="1" thickBot="1" x14ac:dyDescent="0.3">
      <c r="A12" s="269"/>
      <c r="B12" s="8" t="s">
        <v>57</v>
      </c>
      <c r="C12" s="8" t="s">
        <v>3</v>
      </c>
      <c r="D12" s="8" t="s">
        <v>4</v>
      </c>
      <c r="E12" s="278"/>
      <c r="F12" s="278"/>
      <c r="G12" s="17" t="s">
        <v>184</v>
      </c>
      <c r="H12" s="17" t="s">
        <v>184</v>
      </c>
      <c r="I12" s="17" t="s">
        <v>2</v>
      </c>
      <c r="J12" s="284"/>
      <c r="K12" s="285"/>
      <c r="L12" s="286"/>
      <c r="M12" s="280"/>
    </row>
    <row r="13" spans="1:16" ht="15" customHeight="1" x14ac:dyDescent="0.2">
      <c r="A13" s="161">
        <v>1</v>
      </c>
      <c r="B13" s="162">
        <v>2</v>
      </c>
      <c r="C13" s="162">
        <v>100</v>
      </c>
      <c r="D13" s="162">
        <v>12</v>
      </c>
      <c r="E13" s="42">
        <f>D13*($C$7*C13/B13/10^5)^0.5</f>
        <v>4.0249223594996213</v>
      </c>
      <c r="F13" s="42">
        <f>MIN(N13:O13)</f>
        <v>0.8050971677549652</v>
      </c>
      <c r="G13" s="56">
        <f>B13*10^5/$C$8/F13/D13</f>
        <v>5.7503986041082156</v>
      </c>
      <c r="H13" s="56">
        <f>0.15/100*C13*D13</f>
        <v>1.7999999999999998</v>
      </c>
      <c r="I13" s="56">
        <f>MAX(G13:H13)</f>
        <v>5.7503986041082156</v>
      </c>
      <c r="J13" s="57">
        <f>INT(I13*400/3.14/L13^2)+1</f>
        <v>6</v>
      </c>
      <c r="K13" s="58" t="s">
        <v>5</v>
      </c>
      <c r="L13" s="167">
        <v>12</v>
      </c>
      <c r="M13" s="59" t="str">
        <f>IF(P13,"safe","unsafe")</f>
        <v>safe</v>
      </c>
      <c r="N13" s="30">
        <v>0.82599999999999996</v>
      </c>
      <c r="O13" s="39">
        <f>0.5*(0.87+(0.7569-3.386/E13^2)^0.5)</f>
        <v>0.8050971677549652</v>
      </c>
      <c r="P13" s="30" t="b">
        <f>E13&gt;2.78</f>
        <v>1</v>
      </c>
    </row>
    <row r="14" spans="1:16" ht="15" customHeight="1" x14ac:dyDescent="0.2">
      <c r="A14" s="161">
        <v>2</v>
      </c>
      <c r="B14" s="162">
        <v>2</v>
      </c>
      <c r="C14" s="162">
        <v>100</v>
      </c>
      <c r="D14" s="162">
        <v>12</v>
      </c>
      <c r="E14" s="42">
        <f>D14*($C$7*C14/B14/10^5)^0.5</f>
        <v>4.0249223594996213</v>
      </c>
      <c r="F14" s="42">
        <f>MIN(N14:O14)</f>
        <v>0.8050971677549652</v>
      </c>
      <c r="G14" s="56">
        <f>B14*10^5/$C$8/O14/D14</f>
        <v>5.7503986041082156</v>
      </c>
      <c r="H14" s="56">
        <f t="shared" ref="H14:H46" si="0">0.15/100*C14*D14</f>
        <v>1.7999999999999998</v>
      </c>
      <c r="I14" s="56">
        <f t="shared" ref="I14:I46" si="1">MAX(G14:H14)</f>
        <v>5.7503986041082156</v>
      </c>
      <c r="J14" s="57">
        <f t="shared" ref="J14:J46" si="2">INT(I14*400/3.14/L14^2)+1</f>
        <v>6</v>
      </c>
      <c r="K14" s="60" t="s">
        <v>5</v>
      </c>
      <c r="L14" s="167">
        <v>12</v>
      </c>
      <c r="M14" s="61" t="str">
        <f t="shared" ref="M14:M46" si="3">IF(P14,"safe","unsafe")</f>
        <v>safe</v>
      </c>
      <c r="N14" s="30">
        <v>0.82599999999999996</v>
      </c>
      <c r="O14" s="39">
        <f t="shared" ref="O14:O46" si="4">0.5*(0.87+(0.7569-3.386/E14^2)^0.5)</f>
        <v>0.8050971677549652</v>
      </c>
      <c r="P14" s="30" t="b">
        <f t="shared" ref="P14:P46" si="5">E14&gt;2.78</f>
        <v>1</v>
      </c>
    </row>
    <row r="15" spans="1:16" ht="15" customHeight="1" x14ac:dyDescent="0.2">
      <c r="A15" s="161">
        <v>3</v>
      </c>
      <c r="B15" s="162">
        <v>2</v>
      </c>
      <c r="C15" s="162">
        <v>100</v>
      </c>
      <c r="D15" s="162">
        <v>12</v>
      </c>
      <c r="E15" s="42">
        <f>D15*($C$7*C15/B15/10^5)^0.5</f>
        <v>4.0249223594996213</v>
      </c>
      <c r="F15" s="42">
        <f>MIN(N15:O15)</f>
        <v>0.8050971677549652</v>
      </c>
      <c r="G15" s="56">
        <f>B15*10^5/$C$8/O15/D15</f>
        <v>5.7503986041082156</v>
      </c>
      <c r="H15" s="56">
        <f t="shared" si="0"/>
        <v>1.7999999999999998</v>
      </c>
      <c r="I15" s="56">
        <f t="shared" si="1"/>
        <v>5.7503986041082156</v>
      </c>
      <c r="J15" s="57">
        <f t="shared" si="2"/>
        <v>6</v>
      </c>
      <c r="K15" s="60" t="s">
        <v>5</v>
      </c>
      <c r="L15" s="167">
        <v>12</v>
      </c>
      <c r="M15" s="61" t="str">
        <f t="shared" si="3"/>
        <v>safe</v>
      </c>
      <c r="N15" s="30">
        <v>0.82599999999999996</v>
      </c>
      <c r="O15" s="39">
        <f t="shared" si="4"/>
        <v>0.8050971677549652</v>
      </c>
      <c r="P15" s="30" t="b">
        <f t="shared" si="5"/>
        <v>1</v>
      </c>
    </row>
    <row r="16" spans="1:16" ht="15" customHeight="1" x14ac:dyDescent="0.2">
      <c r="A16" s="161">
        <v>4</v>
      </c>
      <c r="B16" s="162">
        <v>2</v>
      </c>
      <c r="C16" s="162">
        <v>100</v>
      </c>
      <c r="D16" s="162">
        <v>12</v>
      </c>
      <c r="E16" s="42">
        <f t="shared" ref="E16:E46" si="6">D16*($C$7*C16/B16/10^5)^0.5</f>
        <v>4.0249223594996213</v>
      </c>
      <c r="F16" s="42">
        <f t="shared" ref="F16:F46" si="7">MIN(N16:O16)</f>
        <v>0.8050971677549652</v>
      </c>
      <c r="G16" s="56">
        <f t="shared" ref="G16:G46" si="8">B16*10^5/$C$8/O16/D16</f>
        <v>5.7503986041082156</v>
      </c>
      <c r="H16" s="56">
        <f t="shared" si="0"/>
        <v>1.7999999999999998</v>
      </c>
      <c r="I16" s="56">
        <f t="shared" si="1"/>
        <v>5.7503986041082156</v>
      </c>
      <c r="J16" s="57">
        <f t="shared" si="2"/>
        <v>6</v>
      </c>
      <c r="K16" s="60" t="s">
        <v>5</v>
      </c>
      <c r="L16" s="167">
        <v>12</v>
      </c>
      <c r="M16" s="61" t="str">
        <f t="shared" si="3"/>
        <v>safe</v>
      </c>
      <c r="N16" s="30">
        <v>0.82599999999999996</v>
      </c>
      <c r="O16" s="39">
        <f t="shared" si="4"/>
        <v>0.8050971677549652</v>
      </c>
      <c r="P16" s="30" t="b">
        <f t="shared" si="5"/>
        <v>1</v>
      </c>
    </row>
    <row r="17" spans="1:16" ht="15" customHeight="1" x14ac:dyDescent="0.2">
      <c r="A17" s="161">
        <v>5</v>
      </c>
      <c r="B17" s="162">
        <v>2</v>
      </c>
      <c r="C17" s="162">
        <v>100</v>
      </c>
      <c r="D17" s="162">
        <v>12</v>
      </c>
      <c r="E17" s="42">
        <f t="shared" si="6"/>
        <v>4.0249223594996213</v>
      </c>
      <c r="F17" s="42">
        <f t="shared" si="7"/>
        <v>0.8050971677549652</v>
      </c>
      <c r="G17" s="56">
        <f t="shared" si="8"/>
        <v>5.7503986041082156</v>
      </c>
      <c r="H17" s="56">
        <f t="shared" si="0"/>
        <v>1.7999999999999998</v>
      </c>
      <c r="I17" s="56">
        <f t="shared" si="1"/>
        <v>5.7503986041082156</v>
      </c>
      <c r="J17" s="57">
        <f t="shared" si="2"/>
        <v>6</v>
      </c>
      <c r="K17" s="60" t="s">
        <v>5</v>
      </c>
      <c r="L17" s="167">
        <v>12</v>
      </c>
      <c r="M17" s="61" t="str">
        <f t="shared" si="3"/>
        <v>safe</v>
      </c>
      <c r="N17" s="30">
        <v>0.82599999999999996</v>
      </c>
      <c r="O17" s="39">
        <f t="shared" si="4"/>
        <v>0.8050971677549652</v>
      </c>
      <c r="P17" s="30" t="b">
        <f t="shared" si="5"/>
        <v>1</v>
      </c>
    </row>
    <row r="18" spans="1:16" ht="15" customHeight="1" x14ac:dyDescent="0.2">
      <c r="A18" s="161">
        <v>6</v>
      </c>
      <c r="B18" s="162">
        <v>2</v>
      </c>
      <c r="C18" s="162">
        <v>100</v>
      </c>
      <c r="D18" s="162">
        <v>12</v>
      </c>
      <c r="E18" s="42">
        <f t="shared" si="6"/>
        <v>4.0249223594996213</v>
      </c>
      <c r="F18" s="42">
        <f t="shared" si="7"/>
        <v>0.8050971677549652</v>
      </c>
      <c r="G18" s="56">
        <f t="shared" si="8"/>
        <v>5.7503986041082156</v>
      </c>
      <c r="H18" s="56">
        <f t="shared" si="0"/>
        <v>1.7999999999999998</v>
      </c>
      <c r="I18" s="56">
        <f t="shared" si="1"/>
        <v>5.7503986041082156</v>
      </c>
      <c r="J18" s="57">
        <f t="shared" si="2"/>
        <v>6</v>
      </c>
      <c r="K18" s="60" t="s">
        <v>5</v>
      </c>
      <c r="L18" s="167">
        <v>12</v>
      </c>
      <c r="M18" s="61" t="str">
        <f t="shared" si="3"/>
        <v>safe</v>
      </c>
      <c r="N18" s="30">
        <v>0.82599999999999996</v>
      </c>
      <c r="O18" s="39">
        <f t="shared" si="4"/>
        <v>0.8050971677549652</v>
      </c>
      <c r="P18" s="30" t="b">
        <f t="shared" si="5"/>
        <v>1</v>
      </c>
    </row>
    <row r="19" spans="1:16" ht="15" customHeight="1" x14ac:dyDescent="0.2">
      <c r="A19" s="161">
        <v>7</v>
      </c>
      <c r="B19" s="162">
        <v>2</v>
      </c>
      <c r="C19" s="162">
        <v>100</v>
      </c>
      <c r="D19" s="162">
        <v>12</v>
      </c>
      <c r="E19" s="42">
        <f t="shared" si="6"/>
        <v>4.0249223594996213</v>
      </c>
      <c r="F19" s="42">
        <f t="shared" si="7"/>
        <v>0.8050971677549652</v>
      </c>
      <c r="G19" s="56">
        <f t="shared" si="8"/>
        <v>5.7503986041082156</v>
      </c>
      <c r="H19" s="56">
        <f t="shared" si="0"/>
        <v>1.7999999999999998</v>
      </c>
      <c r="I19" s="56">
        <f t="shared" si="1"/>
        <v>5.7503986041082156</v>
      </c>
      <c r="J19" s="57">
        <f t="shared" si="2"/>
        <v>6</v>
      </c>
      <c r="K19" s="60" t="s">
        <v>5</v>
      </c>
      <c r="L19" s="167">
        <v>12</v>
      </c>
      <c r="M19" s="61" t="str">
        <f t="shared" si="3"/>
        <v>safe</v>
      </c>
      <c r="N19" s="30">
        <v>0.82599999999999996</v>
      </c>
      <c r="O19" s="39">
        <f t="shared" si="4"/>
        <v>0.8050971677549652</v>
      </c>
      <c r="P19" s="30" t="b">
        <f t="shared" si="5"/>
        <v>1</v>
      </c>
    </row>
    <row r="20" spans="1:16" ht="15" customHeight="1" x14ac:dyDescent="0.2">
      <c r="A20" s="161">
        <v>8</v>
      </c>
      <c r="B20" s="162">
        <v>2</v>
      </c>
      <c r="C20" s="162">
        <v>100</v>
      </c>
      <c r="D20" s="162">
        <v>12</v>
      </c>
      <c r="E20" s="42">
        <f t="shared" si="6"/>
        <v>4.0249223594996213</v>
      </c>
      <c r="F20" s="42">
        <f t="shared" si="7"/>
        <v>0.8050971677549652</v>
      </c>
      <c r="G20" s="56">
        <f t="shared" si="8"/>
        <v>5.7503986041082156</v>
      </c>
      <c r="H20" s="56">
        <f t="shared" si="0"/>
        <v>1.7999999999999998</v>
      </c>
      <c r="I20" s="56">
        <f t="shared" si="1"/>
        <v>5.7503986041082156</v>
      </c>
      <c r="J20" s="57">
        <f t="shared" si="2"/>
        <v>6</v>
      </c>
      <c r="K20" s="60" t="s">
        <v>5</v>
      </c>
      <c r="L20" s="167">
        <v>12</v>
      </c>
      <c r="M20" s="61" t="str">
        <f t="shared" si="3"/>
        <v>safe</v>
      </c>
      <c r="N20" s="30">
        <v>0.82599999999999996</v>
      </c>
      <c r="O20" s="39">
        <f t="shared" si="4"/>
        <v>0.8050971677549652</v>
      </c>
      <c r="P20" s="30" t="b">
        <f t="shared" si="5"/>
        <v>1</v>
      </c>
    </row>
    <row r="21" spans="1:16" ht="15" customHeight="1" x14ac:dyDescent="0.2">
      <c r="A21" s="161">
        <v>9</v>
      </c>
      <c r="B21" s="162">
        <v>2</v>
      </c>
      <c r="C21" s="162">
        <v>100</v>
      </c>
      <c r="D21" s="162">
        <v>12</v>
      </c>
      <c r="E21" s="42">
        <f t="shared" si="6"/>
        <v>4.0249223594996213</v>
      </c>
      <c r="F21" s="42">
        <f t="shared" si="7"/>
        <v>0.8050971677549652</v>
      </c>
      <c r="G21" s="56">
        <f t="shared" si="8"/>
        <v>5.7503986041082156</v>
      </c>
      <c r="H21" s="56">
        <f t="shared" si="0"/>
        <v>1.7999999999999998</v>
      </c>
      <c r="I21" s="56">
        <f t="shared" si="1"/>
        <v>5.7503986041082156</v>
      </c>
      <c r="J21" s="57">
        <f t="shared" si="2"/>
        <v>6</v>
      </c>
      <c r="K21" s="60" t="s">
        <v>5</v>
      </c>
      <c r="L21" s="167">
        <v>12</v>
      </c>
      <c r="M21" s="61" t="str">
        <f t="shared" si="3"/>
        <v>safe</v>
      </c>
      <c r="N21" s="30">
        <v>0.82599999999999996</v>
      </c>
      <c r="O21" s="39">
        <f t="shared" si="4"/>
        <v>0.8050971677549652</v>
      </c>
      <c r="P21" s="30" t="b">
        <f t="shared" si="5"/>
        <v>1</v>
      </c>
    </row>
    <row r="22" spans="1:16" ht="15" customHeight="1" x14ac:dyDescent="0.2">
      <c r="A22" s="161">
        <v>10</v>
      </c>
      <c r="B22" s="162">
        <v>2</v>
      </c>
      <c r="C22" s="162">
        <v>100</v>
      </c>
      <c r="D22" s="162">
        <v>12</v>
      </c>
      <c r="E22" s="42">
        <f t="shared" si="6"/>
        <v>4.0249223594996213</v>
      </c>
      <c r="F22" s="42">
        <f t="shared" si="7"/>
        <v>0.8050971677549652</v>
      </c>
      <c r="G22" s="56">
        <f t="shared" si="8"/>
        <v>5.7503986041082156</v>
      </c>
      <c r="H22" s="56">
        <f t="shared" si="0"/>
        <v>1.7999999999999998</v>
      </c>
      <c r="I22" s="56">
        <f t="shared" si="1"/>
        <v>5.7503986041082156</v>
      </c>
      <c r="J22" s="57">
        <f t="shared" si="2"/>
        <v>6</v>
      </c>
      <c r="K22" s="60" t="s">
        <v>5</v>
      </c>
      <c r="L22" s="167">
        <v>12</v>
      </c>
      <c r="M22" s="61" t="str">
        <f t="shared" si="3"/>
        <v>safe</v>
      </c>
      <c r="N22" s="30">
        <v>0.82599999999999996</v>
      </c>
      <c r="O22" s="39">
        <f t="shared" si="4"/>
        <v>0.8050971677549652</v>
      </c>
      <c r="P22" s="30" t="b">
        <f t="shared" si="5"/>
        <v>1</v>
      </c>
    </row>
    <row r="23" spans="1:16" ht="15" customHeight="1" x14ac:dyDescent="0.2">
      <c r="A23" s="161">
        <v>11</v>
      </c>
      <c r="B23" s="162">
        <v>2</v>
      </c>
      <c r="C23" s="162">
        <v>100</v>
      </c>
      <c r="D23" s="162">
        <v>12</v>
      </c>
      <c r="E23" s="42">
        <f t="shared" si="6"/>
        <v>4.0249223594996213</v>
      </c>
      <c r="F23" s="42">
        <f t="shared" si="7"/>
        <v>0.8050971677549652</v>
      </c>
      <c r="G23" s="56">
        <f t="shared" si="8"/>
        <v>5.7503986041082156</v>
      </c>
      <c r="H23" s="56">
        <f t="shared" si="0"/>
        <v>1.7999999999999998</v>
      </c>
      <c r="I23" s="56">
        <f t="shared" si="1"/>
        <v>5.7503986041082156</v>
      </c>
      <c r="J23" s="57">
        <f t="shared" si="2"/>
        <v>6</v>
      </c>
      <c r="K23" s="60" t="s">
        <v>5</v>
      </c>
      <c r="L23" s="167">
        <v>12</v>
      </c>
      <c r="M23" s="61" t="str">
        <f t="shared" si="3"/>
        <v>safe</v>
      </c>
      <c r="N23" s="30">
        <v>0.82599999999999996</v>
      </c>
      <c r="O23" s="39">
        <f t="shared" si="4"/>
        <v>0.8050971677549652</v>
      </c>
      <c r="P23" s="30" t="b">
        <f t="shared" si="5"/>
        <v>1</v>
      </c>
    </row>
    <row r="24" spans="1:16" ht="15" customHeight="1" x14ac:dyDescent="0.2">
      <c r="A24" s="161">
        <v>12</v>
      </c>
      <c r="B24" s="162">
        <v>2</v>
      </c>
      <c r="C24" s="162">
        <v>100</v>
      </c>
      <c r="D24" s="162">
        <v>12</v>
      </c>
      <c r="E24" s="42">
        <f t="shared" si="6"/>
        <v>4.0249223594996213</v>
      </c>
      <c r="F24" s="42">
        <f t="shared" si="7"/>
        <v>0.8050971677549652</v>
      </c>
      <c r="G24" s="56">
        <f t="shared" si="8"/>
        <v>5.7503986041082156</v>
      </c>
      <c r="H24" s="56">
        <f t="shared" si="0"/>
        <v>1.7999999999999998</v>
      </c>
      <c r="I24" s="56">
        <f t="shared" si="1"/>
        <v>5.7503986041082156</v>
      </c>
      <c r="J24" s="57">
        <f t="shared" si="2"/>
        <v>6</v>
      </c>
      <c r="K24" s="60" t="s">
        <v>5</v>
      </c>
      <c r="L24" s="167">
        <v>12</v>
      </c>
      <c r="M24" s="61" t="str">
        <f t="shared" si="3"/>
        <v>safe</v>
      </c>
      <c r="N24" s="30">
        <v>0.82599999999999996</v>
      </c>
      <c r="O24" s="39">
        <f t="shared" si="4"/>
        <v>0.8050971677549652</v>
      </c>
      <c r="P24" s="30" t="b">
        <f t="shared" si="5"/>
        <v>1</v>
      </c>
    </row>
    <row r="25" spans="1:16" ht="15" customHeight="1" x14ac:dyDescent="0.2">
      <c r="A25" s="161">
        <v>13</v>
      </c>
      <c r="B25" s="162">
        <v>2</v>
      </c>
      <c r="C25" s="162">
        <v>100</v>
      </c>
      <c r="D25" s="162">
        <v>12</v>
      </c>
      <c r="E25" s="42">
        <f t="shared" si="6"/>
        <v>4.0249223594996213</v>
      </c>
      <c r="F25" s="42">
        <f t="shared" si="7"/>
        <v>0.8050971677549652</v>
      </c>
      <c r="G25" s="56">
        <f t="shared" si="8"/>
        <v>5.7503986041082156</v>
      </c>
      <c r="H25" s="56">
        <f t="shared" si="0"/>
        <v>1.7999999999999998</v>
      </c>
      <c r="I25" s="56">
        <f t="shared" si="1"/>
        <v>5.7503986041082156</v>
      </c>
      <c r="J25" s="57">
        <f t="shared" si="2"/>
        <v>6</v>
      </c>
      <c r="K25" s="60" t="s">
        <v>5</v>
      </c>
      <c r="L25" s="167">
        <v>12</v>
      </c>
      <c r="M25" s="61" t="str">
        <f t="shared" si="3"/>
        <v>safe</v>
      </c>
      <c r="N25" s="30">
        <v>0.82599999999999996</v>
      </c>
      <c r="O25" s="39">
        <f t="shared" si="4"/>
        <v>0.8050971677549652</v>
      </c>
      <c r="P25" s="30" t="b">
        <f t="shared" si="5"/>
        <v>1</v>
      </c>
    </row>
    <row r="26" spans="1:16" ht="15" customHeight="1" x14ac:dyDescent="0.2">
      <c r="A26" s="161">
        <v>14</v>
      </c>
      <c r="B26" s="162">
        <v>2</v>
      </c>
      <c r="C26" s="162">
        <v>100</v>
      </c>
      <c r="D26" s="162">
        <v>12</v>
      </c>
      <c r="E26" s="42">
        <f t="shared" si="6"/>
        <v>4.0249223594996213</v>
      </c>
      <c r="F26" s="42">
        <f t="shared" si="7"/>
        <v>0.8050971677549652</v>
      </c>
      <c r="G26" s="56">
        <f t="shared" si="8"/>
        <v>5.7503986041082156</v>
      </c>
      <c r="H26" s="56">
        <f t="shared" si="0"/>
        <v>1.7999999999999998</v>
      </c>
      <c r="I26" s="56">
        <f t="shared" si="1"/>
        <v>5.7503986041082156</v>
      </c>
      <c r="J26" s="57">
        <f t="shared" si="2"/>
        <v>6</v>
      </c>
      <c r="K26" s="60" t="s">
        <v>5</v>
      </c>
      <c r="L26" s="167">
        <v>12</v>
      </c>
      <c r="M26" s="61" t="str">
        <f t="shared" si="3"/>
        <v>safe</v>
      </c>
      <c r="N26" s="30">
        <v>0.82599999999999996</v>
      </c>
      <c r="O26" s="39">
        <f t="shared" si="4"/>
        <v>0.8050971677549652</v>
      </c>
      <c r="P26" s="30" t="b">
        <f t="shared" si="5"/>
        <v>1</v>
      </c>
    </row>
    <row r="27" spans="1:16" ht="15" customHeight="1" x14ac:dyDescent="0.2">
      <c r="A27" s="161">
        <v>15</v>
      </c>
      <c r="B27" s="162">
        <v>2</v>
      </c>
      <c r="C27" s="162">
        <v>100</v>
      </c>
      <c r="D27" s="162">
        <v>12</v>
      </c>
      <c r="E27" s="42">
        <f t="shared" si="6"/>
        <v>4.0249223594996213</v>
      </c>
      <c r="F27" s="42">
        <f t="shared" si="7"/>
        <v>0.8050971677549652</v>
      </c>
      <c r="G27" s="56">
        <f t="shared" si="8"/>
        <v>5.7503986041082156</v>
      </c>
      <c r="H27" s="56">
        <f t="shared" si="0"/>
        <v>1.7999999999999998</v>
      </c>
      <c r="I27" s="56">
        <f t="shared" si="1"/>
        <v>5.7503986041082156</v>
      </c>
      <c r="J27" s="57">
        <f t="shared" si="2"/>
        <v>6</v>
      </c>
      <c r="K27" s="60" t="s">
        <v>5</v>
      </c>
      <c r="L27" s="167">
        <v>12</v>
      </c>
      <c r="M27" s="61" t="str">
        <f t="shared" si="3"/>
        <v>safe</v>
      </c>
      <c r="N27" s="30">
        <v>0.82599999999999996</v>
      </c>
      <c r="O27" s="39">
        <f t="shared" si="4"/>
        <v>0.8050971677549652</v>
      </c>
      <c r="P27" s="30" t="b">
        <f t="shared" si="5"/>
        <v>1</v>
      </c>
    </row>
    <row r="28" spans="1:16" ht="15" customHeight="1" x14ac:dyDescent="0.2">
      <c r="A28" s="161">
        <v>16</v>
      </c>
      <c r="B28" s="162">
        <v>2</v>
      </c>
      <c r="C28" s="162">
        <v>100</v>
      </c>
      <c r="D28" s="162">
        <v>12</v>
      </c>
      <c r="E28" s="42">
        <f t="shared" si="6"/>
        <v>4.0249223594996213</v>
      </c>
      <c r="F28" s="42">
        <f t="shared" si="7"/>
        <v>0.8050971677549652</v>
      </c>
      <c r="G28" s="56">
        <f t="shared" si="8"/>
        <v>5.7503986041082156</v>
      </c>
      <c r="H28" s="56">
        <f t="shared" si="0"/>
        <v>1.7999999999999998</v>
      </c>
      <c r="I28" s="56">
        <f t="shared" si="1"/>
        <v>5.7503986041082156</v>
      </c>
      <c r="J28" s="57">
        <f t="shared" si="2"/>
        <v>6</v>
      </c>
      <c r="K28" s="60" t="s">
        <v>5</v>
      </c>
      <c r="L28" s="167">
        <v>12</v>
      </c>
      <c r="M28" s="61" t="str">
        <f t="shared" si="3"/>
        <v>safe</v>
      </c>
      <c r="N28" s="30">
        <v>0.82599999999999996</v>
      </c>
      <c r="O28" s="39">
        <f t="shared" si="4"/>
        <v>0.8050971677549652</v>
      </c>
      <c r="P28" s="30" t="b">
        <f t="shared" si="5"/>
        <v>1</v>
      </c>
    </row>
    <row r="29" spans="1:16" ht="15" customHeight="1" x14ac:dyDescent="0.2">
      <c r="A29" s="161">
        <v>17</v>
      </c>
      <c r="B29" s="162">
        <v>2</v>
      </c>
      <c r="C29" s="162">
        <v>100</v>
      </c>
      <c r="D29" s="162">
        <v>12</v>
      </c>
      <c r="E29" s="42">
        <f t="shared" si="6"/>
        <v>4.0249223594996213</v>
      </c>
      <c r="F29" s="42">
        <f t="shared" si="7"/>
        <v>0.8050971677549652</v>
      </c>
      <c r="G29" s="56">
        <f t="shared" si="8"/>
        <v>5.7503986041082156</v>
      </c>
      <c r="H29" s="56">
        <f t="shared" si="0"/>
        <v>1.7999999999999998</v>
      </c>
      <c r="I29" s="56">
        <f t="shared" si="1"/>
        <v>5.7503986041082156</v>
      </c>
      <c r="J29" s="57">
        <f t="shared" si="2"/>
        <v>6</v>
      </c>
      <c r="K29" s="60" t="s">
        <v>5</v>
      </c>
      <c r="L29" s="167">
        <v>12</v>
      </c>
      <c r="M29" s="61" t="str">
        <f t="shared" si="3"/>
        <v>safe</v>
      </c>
      <c r="N29" s="30">
        <v>0.82599999999999996</v>
      </c>
      <c r="O29" s="39">
        <f t="shared" si="4"/>
        <v>0.8050971677549652</v>
      </c>
      <c r="P29" s="30" t="b">
        <f t="shared" si="5"/>
        <v>1</v>
      </c>
    </row>
    <row r="30" spans="1:16" ht="15" customHeight="1" x14ac:dyDescent="0.2">
      <c r="A30" s="161">
        <v>18</v>
      </c>
      <c r="B30" s="162">
        <v>2</v>
      </c>
      <c r="C30" s="162">
        <v>100</v>
      </c>
      <c r="D30" s="162">
        <v>12</v>
      </c>
      <c r="E30" s="42">
        <f t="shared" si="6"/>
        <v>4.0249223594996213</v>
      </c>
      <c r="F30" s="42">
        <f t="shared" si="7"/>
        <v>0.8050971677549652</v>
      </c>
      <c r="G30" s="56">
        <f t="shared" si="8"/>
        <v>5.7503986041082156</v>
      </c>
      <c r="H30" s="56">
        <f t="shared" si="0"/>
        <v>1.7999999999999998</v>
      </c>
      <c r="I30" s="56">
        <f t="shared" si="1"/>
        <v>5.7503986041082156</v>
      </c>
      <c r="J30" s="57">
        <f t="shared" si="2"/>
        <v>6</v>
      </c>
      <c r="K30" s="60" t="s">
        <v>5</v>
      </c>
      <c r="L30" s="167">
        <v>12</v>
      </c>
      <c r="M30" s="61" t="str">
        <f t="shared" si="3"/>
        <v>safe</v>
      </c>
      <c r="N30" s="30">
        <v>0.82599999999999996</v>
      </c>
      <c r="O30" s="39">
        <f t="shared" si="4"/>
        <v>0.8050971677549652</v>
      </c>
      <c r="P30" s="30" t="b">
        <f t="shared" si="5"/>
        <v>1</v>
      </c>
    </row>
    <row r="31" spans="1:16" ht="15" customHeight="1" x14ac:dyDescent="0.2">
      <c r="A31" s="161">
        <v>19</v>
      </c>
      <c r="B31" s="162">
        <v>2</v>
      </c>
      <c r="C31" s="162">
        <v>100</v>
      </c>
      <c r="D31" s="162">
        <v>12</v>
      </c>
      <c r="E31" s="42">
        <f t="shared" si="6"/>
        <v>4.0249223594996213</v>
      </c>
      <c r="F31" s="42">
        <f t="shared" si="7"/>
        <v>0.8050971677549652</v>
      </c>
      <c r="G31" s="56">
        <f t="shared" si="8"/>
        <v>5.7503986041082156</v>
      </c>
      <c r="H31" s="56">
        <f t="shared" si="0"/>
        <v>1.7999999999999998</v>
      </c>
      <c r="I31" s="56">
        <f t="shared" si="1"/>
        <v>5.7503986041082156</v>
      </c>
      <c r="J31" s="57">
        <f t="shared" si="2"/>
        <v>6</v>
      </c>
      <c r="K31" s="60" t="s">
        <v>5</v>
      </c>
      <c r="L31" s="167">
        <v>12</v>
      </c>
      <c r="M31" s="61" t="str">
        <f t="shared" si="3"/>
        <v>safe</v>
      </c>
      <c r="N31" s="30">
        <v>0.82599999999999996</v>
      </c>
      <c r="O31" s="39">
        <f t="shared" si="4"/>
        <v>0.8050971677549652</v>
      </c>
      <c r="P31" s="30" t="b">
        <f t="shared" si="5"/>
        <v>1</v>
      </c>
    </row>
    <row r="32" spans="1:16" ht="15" customHeight="1" x14ac:dyDescent="0.2">
      <c r="A32" s="161">
        <v>20</v>
      </c>
      <c r="B32" s="162">
        <v>2</v>
      </c>
      <c r="C32" s="162">
        <v>100</v>
      </c>
      <c r="D32" s="162">
        <v>12</v>
      </c>
      <c r="E32" s="42">
        <f t="shared" si="6"/>
        <v>4.0249223594996213</v>
      </c>
      <c r="F32" s="42">
        <f t="shared" si="7"/>
        <v>0.8050971677549652</v>
      </c>
      <c r="G32" s="56">
        <f t="shared" si="8"/>
        <v>5.7503986041082156</v>
      </c>
      <c r="H32" s="56">
        <f t="shared" si="0"/>
        <v>1.7999999999999998</v>
      </c>
      <c r="I32" s="56">
        <f t="shared" si="1"/>
        <v>5.7503986041082156</v>
      </c>
      <c r="J32" s="57">
        <f t="shared" si="2"/>
        <v>6</v>
      </c>
      <c r="K32" s="60" t="s">
        <v>5</v>
      </c>
      <c r="L32" s="167">
        <v>12</v>
      </c>
      <c r="M32" s="61" t="str">
        <f t="shared" si="3"/>
        <v>safe</v>
      </c>
      <c r="N32" s="30">
        <v>0.82599999999999996</v>
      </c>
      <c r="O32" s="39">
        <f t="shared" si="4"/>
        <v>0.8050971677549652</v>
      </c>
      <c r="P32" s="30" t="b">
        <f t="shared" si="5"/>
        <v>1</v>
      </c>
    </row>
    <row r="33" spans="1:16" ht="15" customHeight="1" x14ac:dyDescent="0.2">
      <c r="A33" s="161">
        <v>21</v>
      </c>
      <c r="B33" s="162">
        <v>2</v>
      </c>
      <c r="C33" s="162">
        <v>100</v>
      </c>
      <c r="D33" s="162">
        <v>12</v>
      </c>
      <c r="E33" s="42">
        <f t="shared" si="6"/>
        <v>4.0249223594996213</v>
      </c>
      <c r="F33" s="42">
        <f t="shared" si="7"/>
        <v>0.8050971677549652</v>
      </c>
      <c r="G33" s="56">
        <f t="shared" si="8"/>
        <v>5.7503986041082156</v>
      </c>
      <c r="H33" s="56">
        <f t="shared" si="0"/>
        <v>1.7999999999999998</v>
      </c>
      <c r="I33" s="56">
        <f t="shared" si="1"/>
        <v>5.7503986041082156</v>
      </c>
      <c r="J33" s="57">
        <f t="shared" si="2"/>
        <v>6</v>
      </c>
      <c r="K33" s="60" t="s">
        <v>5</v>
      </c>
      <c r="L33" s="167">
        <v>12</v>
      </c>
      <c r="M33" s="61" t="str">
        <f t="shared" si="3"/>
        <v>safe</v>
      </c>
      <c r="N33" s="30">
        <v>0.82599999999999996</v>
      </c>
      <c r="O33" s="39">
        <f t="shared" si="4"/>
        <v>0.8050971677549652</v>
      </c>
      <c r="P33" s="30" t="b">
        <f t="shared" si="5"/>
        <v>1</v>
      </c>
    </row>
    <row r="34" spans="1:16" ht="15" customHeight="1" x14ac:dyDescent="0.2">
      <c r="A34" s="161">
        <v>22</v>
      </c>
      <c r="B34" s="162">
        <v>2</v>
      </c>
      <c r="C34" s="162">
        <v>100</v>
      </c>
      <c r="D34" s="162">
        <v>12</v>
      </c>
      <c r="E34" s="42">
        <f t="shared" si="6"/>
        <v>4.0249223594996213</v>
      </c>
      <c r="F34" s="42">
        <f t="shared" si="7"/>
        <v>0.8050971677549652</v>
      </c>
      <c r="G34" s="56">
        <f t="shared" si="8"/>
        <v>5.7503986041082156</v>
      </c>
      <c r="H34" s="56">
        <f t="shared" si="0"/>
        <v>1.7999999999999998</v>
      </c>
      <c r="I34" s="56">
        <f t="shared" si="1"/>
        <v>5.7503986041082156</v>
      </c>
      <c r="J34" s="57">
        <f t="shared" si="2"/>
        <v>6</v>
      </c>
      <c r="K34" s="60" t="s">
        <v>5</v>
      </c>
      <c r="L34" s="167">
        <v>12</v>
      </c>
      <c r="M34" s="61" t="str">
        <f t="shared" si="3"/>
        <v>safe</v>
      </c>
      <c r="N34" s="30">
        <v>0.82599999999999996</v>
      </c>
      <c r="O34" s="39">
        <f t="shared" si="4"/>
        <v>0.8050971677549652</v>
      </c>
      <c r="P34" s="30" t="b">
        <f t="shared" si="5"/>
        <v>1</v>
      </c>
    </row>
    <row r="35" spans="1:16" ht="15" customHeight="1" x14ac:dyDescent="0.2">
      <c r="A35" s="161">
        <v>23</v>
      </c>
      <c r="B35" s="162">
        <v>2</v>
      </c>
      <c r="C35" s="162">
        <v>100</v>
      </c>
      <c r="D35" s="162">
        <v>12</v>
      </c>
      <c r="E35" s="42">
        <f t="shared" si="6"/>
        <v>4.0249223594996213</v>
      </c>
      <c r="F35" s="42">
        <f t="shared" si="7"/>
        <v>0.8050971677549652</v>
      </c>
      <c r="G35" s="56">
        <f t="shared" si="8"/>
        <v>5.7503986041082156</v>
      </c>
      <c r="H35" s="56">
        <f t="shared" si="0"/>
        <v>1.7999999999999998</v>
      </c>
      <c r="I35" s="56">
        <f t="shared" si="1"/>
        <v>5.7503986041082156</v>
      </c>
      <c r="J35" s="57">
        <f t="shared" si="2"/>
        <v>6</v>
      </c>
      <c r="K35" s="60" t="s">
        <v>5</v>
      </c>
      <c r="L35" s="167">
        <v>12</v>
      </c>
      <c r="M35" s="61" t="str">
        <f t="shared" si="3"/>
        <v>safe</v>
      </c>
      <c r="N35" s="30">
        <v>0.82599999999999996</v>
      </c>
      <c r="O35" s="39">
        <f t="shared" si="4"/>
        <v>0.8050971677549652</v>
      </c>
      <c r="P35" s="30" t="b">
        <f t="shared" si="5"/>
        <v>1</v>
      </c>
    </row>
    <row r="36" spans="1:16" ht="15" customHeight="1" x14ac:dyDescent="0.2">
      <c r="A36" s="161">
        <v>24</v>
      </c>
      <c r="B36" s="162">
        <v>2</v>
      </c>
      <c r="C36" s="162">
        <v>100</v>
      </c>
      <c r="D36" s="162">
        <v>12</v>
      </c>
      <c r="E36" s="42">
        <f t="shared" si="6"/>
        <v>4.0249223594996213</v>
      </c>
      <c r="F36" s="42">
        <f t="shared" si="7"/>
        <v>0.8050971677549652</v>
      </c>
      <c r="G36" s="56">
        <f t="shared" si="8"/>
        <v>5.7503986041082156</v>
      </c>
      <c r="H36" s="56">
        <f t="shared" si="0"/>
        <v>1.7999999999999998</v>
      </c>
      <c r="I36" s="56">
        <f t="shared" si="1"/>
        <v>5.7503986041082156</v>
      </c>
      <c r="J36" s="57">
        <f t="shared" si="2"/>
        <v>6</v>
      </c>
      <c r="K36" s="60" t="s">
        <v>5</v>
      </c>
      <c r="L36" s="167">
        <v>12</v>
      </c>
      <c r="M36" s="61" t="str">
        <f t="shared" si="3"/>
        <v>safe</v>
      </c>
      <c r="N36" s="30">
        <v>0.82599999999999996</v>
      </c>
      <c r="O36" s="39">
        <f t="shared" si="4"/>
        <v>0.8050971677549652</v>
      </c>
      <c r="P36" s="30" t="b">
        <f t="shared" si="5"/>
        <v>1</v>
      </c>
    </row>
    <row r="37" spans="1:16" ht="15" customHeight="1" x14ac:dyDescent="0.2">
      <c r="A37" s="161">
        <v>25</v>
      </c>
      <c r="B37" s="162">
        <v>2</v>
      </c>
      <c r="C37" s="162">
        <v>100</v>
      </c>
      <c r="D37" s="162">
        <v>12</v>
      </c>
      <c r="E37" s="42">
        <f t="shared" si="6"/>
        <v>4.0249223594996213</v>
      </c>
      <c r="F37" s="42">
        <f t="shared" si="7"/>
        <v>0.8050971677549652</v>
      </c>
      <c r="G37" s="56">
        <f t="shared" si="8"/>
        <v>5.7503986041082156</v>
      </c>
      <c r="H37" s="56">
        <f t="shared" si="0"/>
        <v>1.7999999999999998</v>
      </c>
      <c r="I37" s="56">
        <f t="shared" si="1"/>
        <v>5.7503986041082156</v>
      </c>
      <c r="J37" s="57">
        <f t="shared" si="2"/>
        <v>6</v>
      </c>
      <c r="K37" s="60" t="s">
        <v>5</v>
      </c>
      <c r="L37" s="167">
        <v>12</v>
      </c>
      <c r="M37" s="61" t="str">
        <f t="shared" si="3"/>
        <v>safe</v>
      </c>
      <c r="N37" s="30">
        <v>0.82599999999999996</v>
      </c>
      <c r="O37" s="39">
        <f t="shared" si="4"/>
        <v>0.8050971677549652</v>
      </c>
      <c r="P37" s="30" t="b">
        <f t="shared" si="5"/>
        <v>1</v>
      </c>
    </row>
    <row r="38" spans="1:16" ht="15" customHeight="1" x14ac:dyDescent="0.2">
      <c r="A38" s="161">
        <v>26</v>
      </c>
      <c r="B38" s="162">
        <v>2</v>
      </c>
      <c r="C38" s="162">
        <v>100</v>
      </c>
      <c r="D38" s="162">
        <v>12</v>
      </c>
      <c r="E38" s="42">
        <f t="shared" si="6"/>
        <v>4.0249223594996213</v>
      </c>
      <c r="F38" s="42">
        <f t="shared" si="7"/>
        <v>0.8050971677549652</v>
      </c>
      <c r="G38" s="56">
        <f t="shared" si="8"/>
        <v>5.7503986041082156</v>
      </c>
      <c r="H38" s="56">
        <f t="shared" si="0"/>
        <v>1.7999999999999998</v>
      </c>
      <c r="I38" s="56">
        <f t="shared" si="1"/>
        <v>5.7503986041082156</v>
      </c>
      <c r="J38" s="57">
        <f t="shared" si="2"/>
        <v>6</v>
      </c>
      <c r="K38" s="60" t="s">
        <v>5</v>
      </c>
      <c r="L38" s="167">
        <v>12</v>
      </c>
      <c r="M38" s="61" t="str">
        <f t="shared" si="3"/>
        <v>safe</v>
      </c>
      <c r="N38" s="30">
        <v>0.82599999999999996</v>
      </c>
      <c r="O38" s="39">
        <f t="shared" si="4"/>
        <v>0.8050971677549652</v>
      </c>
      <c r="P38" s="30" t="b">
        <f t="shared" si="5"/>
        <v>1</v>
      </c>
    </row>
    <row r="39" spans="1:16" ht="15" customHeight="1" x14ac:dyDescent="0.2">
      <c r="A39" s="161">
        <v>27</v>
      </c>
      <c r="B39" s="162">
        <v>2</v>
      </c>
      <c r="C39" s="162">
        <v>100</v>
      </c>
      <c r="D39" s="162">
        <v>12</v>
      </c>
      <c r="E39" s="42">
        <f t="shared" si="6"/>
        <v>4.0249223594996213</v>
      </c>
      <c r="F39" s="42">
        <f t="shared" si="7"/>
        <v>0.8050971677549652</v>
      </c>
      <c r="G39" s="56">
        <f t="shared" si="8"/>
        <v>5.7503986041082156</v>
      </c>
      <c r="H39" s="56">
        <f t="shared" si="0"/>
        <v>1.7999999999999998</v>
      </c>
      <c r="I39" s="56">
        <f t="shared" si="1"/>
        <v>5.7503986041082156</v>
      </c>
      <c r="J39" s="57">
        <f t="shared" si="2"/>
        <v>6</v>
      </c>
      <c r="K39" s="60" t="s">
        <v>5</v>
      </c>
      <c r="L39" s="167">
        <v>12</v>
      </c>
      <c r="M39" s="61" t="str">
        <f t="shared" si="3"/>
        <v>safe</v>
      </c>
      <c r="N39" s="30">
        <v>0.82599999999999996</v>
      </c>
      <c r="O39" s="39">
        <f t="shared" si="4"/>
        <v>0.8050971677549652</v>
      </c>
      <c r="P39" s="30" t="b">
        <f t="shared" si="5"/>
        <v>1</v>
      </c>
    </row>
    <row r="40" spans="1:16" ht="15" customHeight="1" x14ac:dyDescent="0.2">
      <c r="A40" s="161">
        <v>28</v>
      </c>
      <c r="B40" s="162">
        <v>2</v>
      </c>
      <c r="C40" s="162">
        <v>100</v>
      </c>
      <c r="D40" s="162">
        <v>12</v>
      </c>
      <c r="E40" s="42">
        <f t="shared" si="6"/>
        <v>4.0249223594996213</v>
      </c>
      <c r="F40" s="42">
        <f t="shared" si="7"/>
        <v>0.8050971677549652</v>
      </c>
      <c r="G40" s="56">
        <f t="shared" si="8"/>
        <v>5.7503986041082156</v>
      </c>
      <c r="H40" s="56">
        <f t="shared" si="0"/>
        <v>1.7999999999999998</v>
      </c>
      <c r="I40" s="56">
        <f t="shared" si="1"/>
        <v>5.7503986041082156</v>
      </c>
      <c r="J40" s="57">
        <f t="shared" si="2"/>
        <v>6</v>
      </c>
      <c r="K40" s="60" t="s">
        <v>5</v>
      </c>
      <c r="L40" s="167">
        <v>12</v>
      </c>
      <c r="M40" s="61" t="str">
        <f t="shared" si="3"/>
        <v>safe</v>
      </c>
      <c r="N40" s="30">
        <v>0.82599999999999996</v>
      </c>
      <c r="O40" s="39">
        <f t="shared" si="4"/>
        <v>0.8050971677549652</v>
      </c>
      <c r="P40" s="30" t="b">
        <f t="shared" si="5"/>
        <v>1</v>
      </c>
    </row>
    <row r="41" spans="1:16" ht="15" customHeight="1" x14ac:dyDescent="0.2">
      <c r="A41" s="161">
        <v>29</v>
      </c>
      <c r="B41" s="162">
        <v>2</v>
      </c>
      <c r="C41" s="162">
        <v>100</v>
      </c>
      <c r="D41" s="162">
        <v>12</v>
      </c>
      <c r="E41" s="42">
        <f t="shared" si="6"/>
        <v>4.0249223594996213</v>
      </c>
      <c r="F41" s="42">
        <f t="shared" si="7"/>
        <v>0.8050971677549652</v>
      </c>
      <c r="G41" s="56">
        <f t="shared" si="8"/>
        <v>5.7503986041082156</v>
      </c>
      <c r="H41" s="56">
        <f t="shared" si="0"/>
        <v>1.7999999999999998</v>
      </c>
      <c r="I41" s="56">
        <f t="shared" si="1"/>
        <v>5.7503986041082156</v>
      </c>
      <c r="J41" s="57">
        <f t="shared" si="2"/>
        <v>6</v>
      </c>
      <c r="K41" s="60" t="s">
        <v>5</v>
      </c>
      <c r="L41" s="167">
        <v>12</v>
      </c>
      <c r="M41" s="61" t="str">
        <f t="shared" si="3"/>
        <v>safe</v>
      </c>
      <c r="N41" s="30">
        <v>0.82599999999999996</v>
      </c>
      <c r="O41" s="39">
        <f t="shared" si="4"/>
        <v>0.8050971677549652</v>
      </c>
      <c r="P41" s="30" t="b">
        <f t="shared" si="5"/>
        <v>1</v>
      </c>
    </row>
    <row r="42" spans="1:16" ht="15" customHeight="1" x14ac:dyDescent="0.2">
      <c r="A42" s="161">
        <v>30</v>
      </c>
      <c r="B42" s="162">
        <v>2</v>
      </c>
      <c r="C42" s="162">
        <v>100</v>
      </c>
      <c r="D42" s="162">
        <v>12</v>
      </c>
      <c r="E42" s="42">
        <f t="shared" si="6"/>
        <v>4.0249223594996213</v>
      </c>
      <c r="F42" s="42">
        <f t="shared" si="7"/>
        <v>0.8050971677549652</v>
      </c>
      <c r="G42" s="56">
        <f t="shared" si="8"/>
        <v>5.7503986041082156</v>
      </c>
      <c r="H42" s="56">
        <f t="shared" si="0"/>
        <v>1.7999999999999998</v>
      </c>
      <c r="I42" s="56">
        <f t="shared" si="1"/>
        <v>5.7503986041082156</v>
      </c>
      <c r="J42" s="57">
        <f t="shared" si="2"/>
        <v>6</v>
      </c>
      <c r="K42" s="60" t="s">
        <v>5</v>
      </c>
      <c r="L42" s="167">
        <v>12</v>
      </c>
      <c r="M42" s="61" t="str">
        <f t="shared" si="3"/>
        <v>safe</v>
      </c>
      <c r="N42" s="30">
        <v>0.82599999999999996</v>
      </c>
      <c r="O42" s="39">
        <f t="shared" si="4"/>
        <v>0.8050971677549652</v>
      </c>
      <c r="P42" s="30" t="b">
        <f t="shared" si="5"/>
        <v>1</v>
      </c>
    </row>
    <row r="43" spans="1:16" ht="15" customHeight="1" x14ac:dyDescent="0.2">
      <c r="A43" s="161">
        <v>31</v>
      </c>
      <c r="B43" s="162">
        <v>2</v>
      </c>
      <c r="C43" s="162">
        <v>100</v>
      </c>
      <c r="D43" s="162">
        <v>12</v>
      </c>
      <c r="E43" s="42">
        <f t="shared" si="6"/>
        <v>4.0249223594996213</v>
      </c>
      <c r="F43" s="42">
        <f t="shared" si="7"/>
        <v>0.8050971677549652</v>
      </c>
      <c r="G43" s="56">
        <f t="shared" si="8"/>
        <v>5.7503986041082156</v>
      </c>
      <c r="H43" s="56">
        <f t="shared" si="0"/>
        <v>1.7999999999999998</v>
      </c>
      <c r="I43" s="56">
        <f t="shared" si="1"/>
        <v>5.7503986041082156</v>
      </c>
      <c r="J43" s="57">
        <f t="shared" si="2"/>
        <v>6</v>
      </c>
      <c r="K43" s="60" t="s">
        <v>5</v>
      </c>
      <c r="L43" s="167">
        <v>12</v>
      </c>
      <c r="M43" s="61" t="str">
        <f t="shared" si="3"/>
        <v>safe</v>
      </c>
      <c r="N43" s="30">
        <v>0.82599999999999996</v>
      </c>
      <c r="O43" s="39">
        <f t="shared" si="4"/>
        <v>0.8050971677549652</v>
      </c>
      <c r="P43" s="30" t="b">
        <f t="shared" si="5"/>
        <v>1</v>
      </c>
    </row>
    <row r="44" spans="1:16" ht="15" customHeight="1" x14ac:dyDescent="0.2">
      <c r="A44" s="161">
        <v>32</v>
      </c>
      <c r="B44" s="162">
        <v>2</v>
      </c>
      <c r="C44" s="162">
        <v>100</v>
      </c>
      <c r="D44" s="162">
        <v>12</v>
      </c>
      <c r="E44" s="42">
        <f t="shared" si="6"/>
        <v>4.0249223594996213</v>
      </c>
      <c r="F44" s="42">
        <f t="shared" si="7"/>
        <v>0.8050971677549652</v>
      </c>
      <c r="G44" s="56">
        <f t="shared" si="8"/>
        <v>5.7503986041082156</v>
      </c>
      <c r="H44" s="56">
        <f t="shared" si="0"/>
        <v>1.7999999999999998</v>
      </c>
      <c r="I44" s="56">
        <f t="shared" si="1"/>
        <v>5.7503986041082156</v>
      </c>
      <c r="J44" s="57">
        <f t="shared" si="2"/>
        <v>6</v>
      </c>
      <c r="K44" s="60" t="s">
        <v>5</v>
      </c>
      <c r="L44" s="167">
        <v>12</v>
      </c>
      <c r="M44" s="61" t="str">
        <f t="shared" si="3"/>
        <v>safe</v>
      </c>
      <c r="N44" s="30">
        <v>0.82599999999999996</v>
      </c>
      <c r="O44" s="39">
        <f t="shared" si="4"/>
        <v>0.8050971677549652</v>
      </c>
      <c r="P44" s="30" t="b">
        <f t="shared" si="5"/>
        <v>1</v>
      </c>
    </row>
    <row r="45" spans="1:16" ht="15" customHeight="1" x14ac:dyDescent="0.2">
      <c r="A45" s="161">
        <v>33</v>
      </c>
      <c r="B45" s="162">
        <v>2</v>
      </c>
      <c r="C45" s="162">
        <v>100</v>
      </c>
      <c r="D45" s="162">
        <v>12</v>
      </c>
      <c r="E45" s="42">
        <f t="shared" si="6"/>
        <v>4.0249223594996213</v>
      </c>
      <c r="F45" s="42">
        <f t="shared" si="7"/>
        <v>0.8050971677549652</v>
      </c>
      <c r="G45" s="56">
        <f t="shared" si="8"/>
        <v>5.7503986041082156</v>
      </c>
      <c r="H45" s="56">
        <f t="shared" si="0"/>
        <v>1.7999999999999998</v>
      </c>
      <c r="I45" s="56">
        <f t="shared" si="1"/>
        <v>5.7503986041082156</v>
      </c>
      <c r="J45" s="57">
        <f t="shared" si="2"/>
        <v>6</v>
      </c>
      <c r="K45" s="60" t="s">
        <v>5</v>
      </c>
      <c r="L45" s="167">
        <v>12</v>
      </c>
      <c r="M45" s="61" t="str">
        <f t="shared" si="3"/>
        <v>safe</v>
      </c>
      <c r="N45" s="30">
        <v>0.82599999999999996</v>
      </c>
      <c r="O45" s="39">
        <f t="shared" si="4"/>
        <v>0.8050971677549652</v>
      </c>
      <c r="P45" s="30" t="b">
        <f t="shared" si="5"/>
        <v>1</v>
      </c>
    </row>
    <row r="46" spans="1:16" ht="15" customHeight="1" thickBot="1" x14ac:dyDescent="0.25">
      <c r="A46" s="163">
        <v>34</v>
      </c>
      <c r="B46" s="160">
        <v>2</v>
      </c>
      <c r="C46" s="160">
        <v>100</v>
      </c>
      <c r="D46" s="160">
        <v>12</v>
      </c>
      <c r="E46" s="37">
        <f t="shared" si="6"/>
        <v>4.0249223594996213</v>
      </c>
      <c r="F46" s="37">
        <f t="shared" si="7"/>
        <v>0.8050971677549652</v>
      </c>
      <c r="G46" s="62">
        <f t="shared" si="8"/>
        <v>5.7503986041082156</v>
      </c>
      <c r="H46" s="62">
        <f t="shared" si="0"/>
        <v>1.7999999999999998</v>
      </c>
      <c r="I46" s="62">
        <f t="shared" si="1"/>
        <v>5.7503986041082156</v>
      </c>
      <c r="J46" s="63">
        <f t="shared" si="2"/>
        <v>6</v>
      </c>
      <c r="K46" s="64" t="s">
        <v>5</v>
      </c>
      <c r="L46" s="168">
        <v>12</v>
      </c>
      <c r="M46" s="65" t="str">
        <f t="shared" si="3"/>
        <v>safe</v>
      </c>
      <c r="N46" s="30">
        <v>0.82599999999999996</v>
      </c>
      <c r="O46" s="39">
        <f t="shared" si="4"/>
        <v>0.8050971677549652</v>
      </c>
      <c r="P46" s="30" t="b">
        <f t="shared" si="5"/>
        <v>1</v>
      </c>
    </row>
  </sheetData>
  <sheetProtection sheet="1" objects="1" scenarios="1"/>
  <mergeCells count="6">
    <mergeCell ref="C4:M4"/>
    <mergeCell ref="A11:A12"/>
    <mergeCell ref="E11:E12"/>
    <mergeCell ref="F11:F12"/>
    <mergeCell ref="M11:M12"/>
    <mergeCell ref="J11:L12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&amp;R&amp;"Arial,Bold Italic"&amp;9Concrete design using the ultimate limit design method.</oddHeader>
    <oddFooter>&amp;L&amp;"Arial,Bold Italic"&amp;9By: Eng. Mahmoud El-Kateb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opLeftCell="A25" workbookViewId="0">
      <selection activeCell="L13" sqref="L13"/>
    </sheetView>
  </sheetViews>
  <sheetFormatPr defaultColWidth="9.140625" defaultRowHeight="12.75" x14ac:dyDescent="0.2"/>
  <cols>
    <col min="1" max="1" width="4.5703125" style="30" customWidth="1"/>
    <col min="2" max="2" width="15.85546875" style="30" customWidth="1"/>
    <col min="3" max="3" width="7.7109375" style="30" customWidth="1"/>
    <col min="4" max="4" width="7.42578125" style="30" customWidth="1"/>
    <col min="5" max="5" width="6.5703125" style="30" customWidth="1"/>
    <col min="6" max="6" width="6.7109375" style="30" customWidth="1"/>
    <col min="7" max="7" width="5.5703125" style="30" customWidth="1"/>
    <col min="8" max="8" width="6" style="30" customWidth="1"/>
    <col min="9" max="9" width="5.5703125" style="30" customWidth="1"/>
    <col min="10" max="10" width="6.42578125" style="30" customWidth="1"/>
    <col min="11" max="11" width="3.28515625" style="30" customWidth="1"/>
    <col min="12" max="12" width="3.85546875" style="30" customWidth="1"/>
    <col min="13" max="13" width="7.140625" style="30" customWidth="1"/>
    <col min="14" max="16" width="9.140625" style="30" hidden="1" customWidth="1"/>
    <col min="17" max="16384" width="9.140625" style="30"/>
  </cols>
  <sheetData>
    <row r="1" spans="1:15" ht="22.5" x14ac:dyDescent="0.3">
      <c r="A1" s="34" t="s">
        <v>185</v>
      </c>
    </row>
    <row r="4" spans="1:15" ht="18.75" x14ac:dyDescent="0.3">
      <c r="B4" s="35" t="s">
        <v>33</v>
      </c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</row>
    <row r="5" spans="1:15" ht="15.75" x14ac:dyDescent="0.25">
      <c r="B5" s="36"/>
    </row>
    <row r="6" spans="1:15" ht="13.5" thickBot="1" x14ac:dyDescent="0.25"/>
    <row r="7" spans="1:15" ht="22.5" customHeight="1" thickTop="1" x14ac:dyDescent="0.3">
      <c r="B7" s="52" t="s">
        <v>186</v>
      </c>
      <c r="C7" s="165">
        <v>225</v>
      </c>
      <c r="D7" s="53" t="s">
        <v>8</v>
      </c>
    </row>
    <row r="8" spans="1:15" ht="22.5" customHeight="1" thickBot="1" x14ac:dyDescent="0.35">
      <c r="B8" s="54" t="s">
        <v>44</v>
      </c>
      <c r="C8" s="166">
        <v>3600</v>
      </c>
      <c r="D8" s="55" t="s">
        <v>8</v>
      </c>
    </row>
    <row r="9" spans="1:15" ht="15" customHeight="1" thickTop="1" x14ac:dyDescent="0.25">
      <c r="B9" s="50"/>
      <c r="C9" s="40"/>
      <c r="D9" s="50"/>
    </row>
    <row r="10" spans="1:15" ht="15" customHeight="1" x14ac:dyDescent="0.25">
      <c r="B10" s="27" t="s">
        <v>187</v>
      </c>
      <c r="C10" s="40"/>
      <c r="D10" s="66" t="s">
        <v>188</v>
      </c>
      <c r="F10" s="169">
        <v>6</v>
      </c>
      <c r="G10" s="30" t="s">
        <v>125</v>
      </c>
      <c r="H10" s="67" t="s">
        <v>189</v>
      </c>
      <c r="J10" s="170">
        <v>4</v>
      </c>
      <c r="K10" s="38" t="s">
        <v>125</v>
      </c>
      <c r="N10" s="30">
        <f>C15*J10*(F10-2/300*F12)^2/8</f>
        <v>15.867222222222219</v>
      </c>
      <c r="O10" s="30">
        <f>C15*F10*(J10-2/300*J12)^2/8</f>
        <v>9.9008333333333329</v>
      </c>
    </row>
    <row r="11" spans="1:15" ht="15" customHeight="1" x14ac:dyDescent="0.25">
      <c r="B11" s="27" t="s">
        <v>190</v>
      </c>
      <c r="C11" s="28"/>
      <c r="D11" s="27"/>
      <c r="E11" s="169">
        <v>1</v>
      </c>
      <c r="F11" s="68"/>
      <c r="N11" s="30" t="b">
        <f>E11=1</f>
        <v>1</v>
      </c>
    </row>
    <row r="12" spans="1:15" ht="15" customHeight="1" x14ac:dyDescent="0.25">
      <c r="B12" s="27" t="s">
        <v>191</v>
      </c>
      <c r="D12" s="66" t="s">
        <v>188</v>
      </c>
      <c r="F12" s="169">
        <v>55</v>
      </c>
      <c r="G12" s="30" t="s">
        <v>78</v>
      </c>
      <c r="H12" s="67" t="s">
        <v>189</v>
      </c>
      <c r="J12" s="170">
        <v>55</v>
      </c>
      <c r="K12" s="38" t="s">
        <v>78</v>
      </c>
    </row>
    <row r="13" spans="1:15" ht="15" customHeight="1" x14ac:dyDescent="0.25">
      <c r="B13" s="27" t="s">
        <v>192</v>
      </c>
      <c r="C13" s="171">
        <v>18</v>
      </c>
      <c r="D13" s="69" t="s">
        <v>78</v>
      </c>
      <c r="N13" s="30">
        <f>IF(N11,0.3,0.4)</f>
        <v>0.3</v>
      </c>
      <c r="O13" s="30">
        <f>IF(N11,0.2,0.1)</f>
        <v>0.2</v>
      </c>
    </row>
    <row r="14" spans="1:15" ht="17.25" customHeight="1" x14ac:dyDescent="0.25">
      <c r="B14" s="27" t="s">
        <v>193</v>
      </c>
      <c r="C14" s="171">
        <v>100</v>
      </c>
      <c r="D14" s="69" t="s">
        <v>194</v>
      </c>
      <c r="F14" s="27" t="s">
        <v>195</v>
      </c>
      <c r="G14" s="29"/>
      <c r="H14" s="171">
        <v>0</v>
      </c>
      <c r="I14" s="69" t="s">
        <v>194</v>
      </c>
    </row>
    <row r="15" spans="1:15" ht="17.25" customHeight="1" x14ac:dyDescent="0.3">
      <c r="B15" s="27" t="s">
        <v>200</v>
      </c>
      <c r="C15" s="172">
        <f>(C13/100*2.5+0.15+H14/1000)*1.4+C14/1000*1.6</f>
        <v>1</v>
      </c>
      <c r="D15" s="50" t="s">
        <v>196</v>
      </c>
    </row>
    <row r="16" spans="1:15" ht="15" customHeight="1" x14ac:dyDescent="0.25">
      <c r="B16" s="50"/>
      <c r="C16" s="40"/>
      <c r="D16" s="50"/>
    </row>
    <row r="17" spans="1:16" ht="15" customHeight="1" x14ac:dyDescent="0.25">
      <c r="B17" s="50" t="s">
        <v>188</v>
      </c>
      <c r="C17" s="40"/>
      <c r="D17" s="50"/>
      <c r="F17" s="70">
        <f>N13*N10</f>
        <v>4.7601666666666658</v>
      </c>
      <c r="J17" s="71">
        <f>0.45*N10</f>
        <v>7.1402499999999991</v>
      </c>
      <c r="K17" s="71"/>
    </row>
    <row r="18" spans="1:16" ht="15" customHeight="1" x14ac:dyDescent="0.25">
      <c r="B18" s="50" t="s">
        <v>197</v>
      </c>
      <c r="C18" s="40"/>
      <c r="D18" s="72">
        <f>0.3*N10</f>
        <v>4.7601666666666658</v>
      </c>
      <c r="H18" s="73">
        <f>0.25*N10</f>
        <v>3.9668055555555548</v>
      </c>
    </row>
    <row r="19" spans="1:16" ht="15" customHeight="1" x14ac:dyDescent="0.25">
      <c r="B19" s="50"/>
      <c r="C19" s="40"/>
      <c r="D19" s="50"/>
    </row>
    <row r="20" spans="1:16" ht="15" x14ac:dyDescent="0.25">
      <c r="B20" s="50" t="s">
        <v>188</v>
      </c>
      <c r="C20" s="40"/>
      <c r="D20" s="50"/>
      <c r="F20" s="70">
        <f>O13*N10</f>
        <v>3.1734444444444438</v>
      </c>
      <c r="J20" s="70">
        <f>0.15*N10</f>
        <v>2.3800833333333329</v>
      </c>
      <c r="K20" s="70"/>
    </row>
    <row r="21" spans="1:16" ht="15" x14ac:dyDescent="0.25">
      <c r="B21" s="50" t="s">
        <v>198</v>
      </c>
      <c r="C21" s="40"/>
      <c r="D21" s="72">
        <f>0.2*N10</f>
        <v>3.1734444444444438</v>
      </c>
      <c r="H21" s="73">
        <f>0.15*N10</f>
        <v>2.3800833333333329</v>
      </c>
    </row>
    <row r="22" spans="1:16" ht="15" x14ac:dyDescent="0.25">
      <c r="B22" s="50"/>
      <c r="C22" s="40"/>
      <c r="D22" s="50"/>
    </row>
    <row r="23" spans="1:16" ht="15" x14ac:dyDescent="0.25">
      <c r="B23" s="50" t="s">
        <v>199</v>
      </c>
      <c r="C23" s="40"/>
      <c r="D23" s="50"/>
      <c r="F23" s="70">
        <f>N13*O10</f>
        <v>2.9702499999999996</v>
      </c>
      <c r="J23" s="70">
        <f>0.45*O10</f>
        <v>4.4553750000000001</v>
      </c>
      <c r="K23" s="70"/>
    </row>
    <row r="24" spans="1:16" ht="15" x14ac:dyDescent="0.25">
      <c r="B24" s="50" t="s">
        <v>197</v>
      </c>
      <c r="C24" s="40"/>
      <c r="D24" s="72">
        <f>0.3*O10</f>
        <v>2.9702499999999996</v>
      </c>
      <c r="H24" s="73">
        <f>0.25*O10</f>
        <v>2.4752083333333332</v>
      </c>
    </row>
    <row r="25" spans="1:16" ht="15" x14ac:dyDescent="0.25">
      <c r="B25" s="50"/>
      <c r="C25" s="40"/>
      <c r="D25" s="50"/>
    </row>
    <row r="26" spans="1:16" ht="15" x14ac:dyDescent="0.25">
      <c r="B26" s="50" t="s">
        <v>199</v>
      </c>
      <c r="C26" s="40"/>
      <c r="D26" s="50"/>
      <c r="F26" s="70">
        <f>O13*O10</f>
        <v>1.9801666666666666</v>
      </c>
      <c r="J26" s="70">
        <f>0.15*O10</f>
        <v>1.4851249999999998</v>
      </c>
      <c r="K26" s="70"/>
    </row>
    <row r="27" spans="1:16" ht="15" x14ac:dyDescent="0.25">
      <c r="B27" s="50" t="s">
        <v>198</v>
      </c>
      <c r="C27" s="40"/>
      <c r="D27" s="72">
        <f>0.2*O10</f>
        <v>1.9801666666666666</v>
      </c>
      <c r="H27" s="73">
        <f>0.15*O10</f>
        <v>1.4851249999999998</v>
      </c>
    </row>
    <row r="28" spans="1:16" ht="15.75" thickBot="1" x14ac:dyDescent="0.3">
      <c r="B28" s="50"/>
      <c r="C28" s="40"/>
      <c r="D28" s="50"/>
    </row>
    <row r="29" spans="1:16" ht="15" customHeight="1" x14ac:dyDescent="0.25">
      <c r="A29" s="268" t="s">
        <v>10</v>
      </c>
      <c r="B29" s="6" t="s">
        <v>91</v>
      </c>
      <c r="C29" s="6" t="s">
        <v>6</v>
      </c>
      <c r="D29" s="6" t="s">
        <v>7</v>
      </c>
      <c r="E29" s="277" t="s">
        <v>0</v>
      </c>
      <c r="F29" s="277" t="s">
        <v>1</v>
      </c>
      <c r="G29" s="16" t="s">
        <v>2</v>
      </c>
      <c r="H29" s="16" t="s">
        <v>160</v>
      </c>
      <c r="I29" s="16" t="s">
        <v>12</v>
      </c>
      <c r="J29" s="281" t="s">
        <v>203</v>
      </c>
      <c r="K29" s="282"/>
      <c r="L29" s="283"/>
      <c r="M29" s="279" t="s">
        <v>13</v>
      </c>
    </row>
    <row r="30" spans="1:16" ht="17.25" customHeight="1" thickBot="1" x14ac:dyDescent="0.3">
      <c r="A30" s="269"/>
      <c r="B30" s="8" t="s">
        <v>57</v>
      </c>
      <c r="C30" s="8" t="s">
        <v>3</v>
      </c>
      <c r="D30" s="8" t="s">
        <v>4</v>
      </c>
      <c r="E30" s="278"/>
      <c r="F30" s="278"/>
      <c r="G30" s="17" t="s">
        <v>184</v>
      </c>
      <c r="H30" s="17" t="s">
        <v>184</v>
      </c>
      <c r="I30" s="17" t="s">
        <v>2</v>
      </c>
      <c r="J30" s="284"/>
      <c r="K30" s="285"/>
      <c r="L30" s="286"/>
      <c r="M30" s="280"/>
    </row>
    <row r="31" spans="1:16" ht="15" customHeight="1" x14ac:dyDescent="0.2">
      <c r="A31" s="161">
        <v>1</v>
      </c>
      <c r="B31" s="173">
        <v>3.5</v>
      </c>
      <c r="C31" s="74">
        <f>$J$10*100/2</f>
        <v>200</v>
      </c>
      <c r="D31" s="162">
        <v>18</v>
      </c>
      <c r="E31" s="42">
        <f>D31*($C$7*C31/B31/10^5)^0.5</f>
        <v>6.4542344904057254</v>
      </c>
      <c r="F31" s="42">
        <f>MIN(N31:O31)</f>
        <v>0.82599999999999996</v>
      </c>
      <c r="G31" s="56">
        <f>B31*10^5/$C$8/F31/D31/C31*100</f>
        <v>3.2695124503034112</v>
      </c>
      <c r="H31" s="56">
        <f>0.15/100*C31*D31</f>
        <v>5.3999999999999995</v>
      </c>
      <c r="I31" s="56">
        <f>MAX(G31:H31)</f>
        <v>5.3999999999999995</v>
      </c>
      <c r="J31" s="79">
        <f>INT(G31*400/3.14/L31^2)+1</f>
        <v>2</v>
      </c>
      <c r="K31" s="75" t="s">
        <v>5</v>
      </c>
      <c r="L31" s="167">
        <v>16</v>
      </c>
      <c r="M31" s="59" t="str">
        <f>IF(P31,"safe","unsafe")</f>
        <v>safe</v>
      </c>
      <c r="N31" s="30">
        <v>0.82599999999999996</v>
      </c>
      <c r="O31" s="39">
        <f>0.5*(0.87+(0.7569-3.386/E31^2)^0.5)</f>
        <v>0.84597975045153639</v>
      </c>
      <c r="P31" s="30" t="b">
        <f>E31&gt;2.78</f>
        <v>1</v>
      </c>
    </row>
    <row r="32" spans="1:16" ht="15" customHeight="1" x14ac:dyDescent="0.2">
      <c r="A32" s="161">
        <v>2</v>
      </c>
      <c r="B32" s="173">
        <f>F17</f>
        <v>4.7601666666666658</v>
      </c>
      <c r="C32" s="74">
        <f t="shared" ref="C32:C38" si="0">$J$10*100/2</f>
        <v>200</v>
      </c>
      <c r="D32" s="162">
        <v>18</v>
      </c>
      <c r="E32" s="42">
        <f>D32*($C$7*C32/B32/10^5)^0.5</f>
        <v>5.5343635271431593</v>
      </c>
      <c r="F32" s="42">
        <f>MIN(N32:O32)</f>
        <v>0.82599999999999996</v>
      </c>
      <c r="G32" s="56">
        <f t="shared" ref="G32:G46" si="1">B32*10^5/$C$8/F32/D32/C32*100</f>
        <v>4.4466926234816997</v>
      </c>
      <c r="H32" s="56">
        <f t="shared" ref="H32:H46" si="2">0.15/100*C32*D32</f>
        <v>5.3999999999999995</v>
      </c>
      <c r="I32" s="56">
        <f t="shared" ref="I32:I46" si="3">MAX(G32:H32)</f>
        <v>5.3999999999999995</v>
      </c>
      <c r="J32" s="79">
        <f t="shared" ref="J32:J46" si="4">INT(G32*400/3.14/L32^2)+1</f>
        <v>3</v>
      </c>
      <c r="K32" s="76" t="s">
        <v>5</v>
      </c>
      <c r="L32" s="167">
        <v>16</v>
      </c>
      <c r="M32" s="61" t="str">
        <f t="shared" ref="M32:M46" si="5">IF(P32,"safe","unsafe")</f>
        <v>safe</v>
      </c>
      <c r="N32" s="30">
        <v>0.82599999999999996</v>
      </c>
      <c r="O32" s="39">
        <f t="shared" ref="O32:O46" si="6">0.5*(0.87+(0.7569-3.386/E32^2)^0.5)</f>
        <v>0.83698004369955137</v>
      </c>
      <c r="P32" s="30" t="b">
        <f t="shared" ref="P32:P46" si="7">E32&gt;2.78</f>
        <v>1</v>
      </c>
    </row>
    <row r="33" spans="1:16" ht="15" customHeight="1" x14ac:dyDescent="0.2">
      <c r="A33" s="161">
        <v>3</v>
      </c>
      <c r="B33" s="173">
        <f>H18</f>
        <v>3.9668055555555548</v>
      </c>
      <c r="C33" s="74">
        <f t="shared" si="0"/>
        <v>200</v>
      </c>
      <c r="D33" s="162">
        <v>18</v>
      </c>
      <c r="E33" s="42">
        <f>D33*($C$7*C33/B33/10^5)^0.5</f>
        <v>6.0625914905003251</v>
      </c>
      <c r="F33" s="42">
        <f>MIN(N33:O33)</f>
        <v>0.82599999999999996</v>
      </c>
      <c r="G33" s="56">
        <f t="shared" si="1"/>
        <v>3.7055771862347502</v>
      </c>
      <c r="H33" s="56">
        <f t="shared" si="2"/>
        <v>5.3999999999999995</v>
      </c>
      <c r="I33" s="56">
        <f t="shared" si="3"/>
        <v>5.3999999999999995</v>
      </c>
      <c r="J33" s="79">
        <f t="shared" si="4"/>
        <v>2</v>
      </c>
      <c r="K33" s="76" t="s">
        <v>5</v>
      </c>
      <c r="L33" s="167">
        <v>16</v>
      </c>
      <c r="M33" s="61" t="str">
        <f t="shared" si="5"/>
        <v>safe</v>
      </c>
      <c r="N33" s="30">
        <v>0.82599999999999996</v>
      </c>
      <c r="O33" s="39">
        <f t="shared" si="6"/>
        <v>0.84266914233306611</v>
      </c>
      <c r="P33" s="30" t="b">
        <f t="shared" si="7"/>
        <v>1</v>
      </c>
    </row>
    <row r="34" spans="1:16" ht="15" customHeight="1" x14ac:dyDescent="0.2">
      <c r="A34" s="161">
        <v>4</v>
      </c>
      <c r="B34" s="173">
        <f>J17</f>
        <v>7.1402499999999991</v>
      </c>
      <c r="C34" s="74">
        <f t="shared" si="0"/>
        <v>200</v>
      </c>
      <c r="D34" s="162">
        <v>18</v>
      </c>
      <c r="E34" s="42">
        <f t="shared" ref="E34:E46" si="8">D34*($C$7*C34/B34/10^5)^0.5</f>
        <v>4.5187888975234989</v>
      </c>
      <c r="F34" s="42">
        <f t="shared" ref="F34:F46" si="9">MIN(N34:O34)</f>
        <v>0.8194078996314198</v>
      </c>
      <c r="G34" s="56">
        <f t="shared" si="1"/>
        <v>6.7236991039164344</v>
      </c>
      <c r="H34" s="56">
        <f t="shared" si="2"/>
        <v>5.3999999999999995</v>
      </c>
      <c r="I34" s="56">
        <f t="shared" si="3"/>
        <v>6.7236991039164344</v>
      </c>
      <c r="J34" s="79">
        <f t="shared" si="4"/>
        <v>4</v>
      </c>
      <c r="K34" s="76" t="s">
        <v>5</v>
      </c>
      <c r="L34" s="167">
        <v>16</v>
      </c>
      <c r="M34" s="61" t="str">
        <f t="shared" si="5"/>
        <v>safe</v>
      </c>
      <c r="N34" s="30">
        <v>0.82599999999999996</v>
      </c>
      <c r="O34" s="39">
        <f t="shared" si="6"/>
        <v>0.8194078996314198</v>
      </c>
      <c r="P34" s="30" t="b">
        <f t="shared" si="7"/>
        <v>1</v>
      </c>
    </row>
    <row r="35" spans="1:16" ht="15" customHeight="1" x14ac:dyDescent="0.2">
      <c r="A35" s="161">
        <v>5</v>
      </c>
      <c r="B35" s="173">
        <f>D21</f>
        <v>3.1734444444444438</v>
      </c>
      <c r="C35" s="74">
        <f t="shared" si="0"/>
        <v>200</v>
      </c>
      <c r="D35" s="162">
        <v>18</v>
      </c>
      <c r="E35" s="42">
        <f t="shared" si="8"/>
        <v>6.7781833462852488</v>
      </c>
      <c r="F35" s="42">
        <f t="shared" si="9"/>
        <v>0.82599999999999996</v>
      </c>
      <c r="G35" s="56">
        <f t="shared" si="1"/>
        <v>2.9644617489877998</v>
      </c>
      <c r="H35" s="56">
        <f t="shared" si="2"/>
        <v>5.3999999999999995</v>
      </c>
      <c r="I35" s="56">
        <f t="shared" si="3"/>
        <v>5.3999999999999995</v>
      </c>
      <c r="J35" s="79">
        <f t="shared" si="4"/>
        <v>3</v>
      </c>
      <c r="K35" s="76" t="s">
        <v>5</v>
      </c>
      <c r="L35" s="167">
        <v>12</v>
      </c>
      <c r="M35" s="61" t="str">
        <f t="shared" si="5"/>
        <v>safe</v>
      </c>
      <c r="N35" s="30">
        <v>0.82599999999999996</v>
      </c>
      <c r="O35" s="39">
        <f t="shared" si="6"/>
        <v>0.84827993380814193</v>
      </c>
      <c r="P35" s="30" t="b">
        <f t="shared" si="7"/>
        <v>1</v>
      </c>
    </row>
    <row r="36" spans="1:16" ht="15" customHeight="1" x14ac:dyDescent="0.2">
      <c r="A36" s="161">
        <v>6</v>
      </c>
      <c r="B36" s="173">
        <f>F20</f>
        <v>3.1734444444444438</v>
      </c>
      <c r="C36" s="74">
        <f t="shared" si="0"/>
        <v>200</v>
      </c>
      <c r="D36" s="162">
        <v>18</v>
      </c>
      <c r="E36" s="42">
        <f t="shared" si="8"/>
        <v>6.7781833462852488</v>
      </c>
      <c r="F36" s="42">
        <f t="shared" si="9"/>
        <v>0.82599999999999996</v>
      </c>
      <c r="G36" s="56">
        <f t="shared" si="1"/>
        <v>2.9644617489877998</v>
      </c>
      <c r="H36" s="56">
        <f t="shared" si="2"/>
        <v>5.3999999999999995</v>
      </c>
      <c r="I36" s="56">
        <f t="shared" si="3"/>
        <v>5.3999999999999995</v>
      </c>
      <c r="J36" s="79">
        <f t="shared" si="4"/>
        <v>3</v>
      </c>
      <c r="K36" s="76" t="s">
        <v>5</v>
      </c>
      <c r="L36" s="167">
        <v>12</v>
      </c>
      <c r="M36" s="61" t="str">
        <f t="shared" si="5"/>
        <v>safe</v>
      </c>
      <c r="N36" s="30">
        <v>0.82599999999999996</v>
      </c>
      <c r="O36" s="39">
        <f t="shared" si="6"/>
        <v>0.84827993380814193</v>
      </c>
      <c r="P36" s="30" t="b">
        <f t="shared" si="7"/>
        <v>1</v>
      </c>
    </row>
    <row r="37" spans="1:16" ht="15" customHeight="1" x14ac:dyDescent="0.2">
      <c r="A37" s="161">
        <v>7</v>
      </c>
      <c r="B37" s="173">
        <f>H21</f>
        <v>2.3800833333333329</v>
      </c>
      <c r="C37" s="74">
        <f t="shared" si="0"/>
        <v>200</v>
      </c>
      <c r="D37" s="162">
        <v>18</v>
      </c>
      <c r="E37" s="42">
        <f t="shared" si="8"/>
        <v>7.8267719591888536</v>
      </c>
      <c r="F37" s="42">
        <f t="shared" si="9"/>
        <v>0.82599999999999996</v>
      </c>
      <c r="G37" s="56">
        <f t="shared" si="1"/>
        <v>2.2233463117408498</v>
      </c>
      <c r="H37" s="56">
        <f t="shared" si="2"/>
        <v>5.3999999999999995</v>
      </c>
      <c r="I37" s="56">
        <f t="shared" si="3"/>
        <v>5.3999999999999995</v>
      </c>
      <c r="J37" s="79">
        <f t="shared" si="4"/>
        <v>2</v>
      </c>
      <c r="K37" s="76" t="s">
        <v>5</v>
      </c>
      <c r="L37" s="167">
        <v>12</v>
      </c>
      <c r="M37" s="61" t="str">
        <f t="shared" si="5"/>
        <v>safe</v>
      </c>
      <c r="N37" s="30">
        <v>0.82599999999999996</v>
      </c>
      <c r="O37" s="39">
        <f t="shared" si="6"/>
        <v>0.85381556533436842</v>
      </c>
      <c r="P37" s="30" t="b">
        <f t="shared" si="7"/>
        <v>1</v>
      </c>
    </row>
    <row r="38" spans="1:16" ht="15" customHeight="1" x14ac:dyDescent="0.2">
      <c r="A38" s="161">
        <v>8</v>
      </c>
      <c r="B38" s="173">
        <f>J20</f>
        <v>2.3800833333333329</v>
      </c>
      <c r="C38" s="74">
        <f t="shared" si="0"/>
        <v>200</v>
      </c>
      <c r="D38" s="162">
        <v>18</v>
      </c>
      <c r="E38" s="42">
        <f t="shared" si="8"/>
        <v>7.8267719591888536</v>
      </c>
      <c r="F38" s="42">
        <f t="shared" si="9"/>
        <v>0.82599999999999996</v>
      </c>
      <c r="G38" s="56">
        <f t="shared" si="1"/>
        <v>2.2233463117408498</v>
      </c>
      <c r="H38" s="56">
        <f t="shared" si="2"/>
        <v>5.3999999999999995</v>
      </c>
      <c r="I38" s="56">
        <f t="shared" si="3"/>
        <v>5.3999999999999995</v>
      </c>
      <c r="J38" s="79">
        <f t="shared" si="4"/>
        <v>2</v>
      </c>
      <c r="K38" s="76" t="s">
        <v>5</v>
      </c>
      <c r="L38" s="167">
        <v>12</v>
      </c>
      <c r="M38" s="61" t="str">
        <f t="shared" si="5"/>
        <v>safe</v>
      </c>
      <c r="N38" s="30">
        <v>0.82599999999999996</v>
      </c>
      <c r="O38" s="39">
        <f t="shared" si="6"/>
        <v>0.85381556533436842</v>
      </c>
      <c r="P38" s="30" t="b">
        <f t="shared" si="7"/>
        <v>1</v>
      </c>
    </row>
    <row r="39" spans="1:16" ht="15" customHeight="1" x14ac:dyDescent="0.2">
      <c r="A39" s="161">
        <v>9</v>
      </c>
      <c r="B39" s="173">
        <f>D24</f>
        <v>2.9702499999999996</v>
      </c>
      <c r="C39" s="74">
        <f>$F$10*100/2</f>
        <v>300</v>
      </c>
      <c r="D39" s="162">
        <v>18</v>
      </c>
      <c r="E39" s="42">
        <f t="shared" si="8"/>
        <v>8.5808021659375573</v>
      </c>
      <c r="F39" s="42">
        <f t="shared" si="9"/>
        <v>0.82599999999999996</v>
      </c>
      <c r="G39" s="56">
        <f t="shared" si="1"/>
        <v>1.8497655915264199</v>
      </c>
      <c r="H39" s="56">
        <f t="shared" si="2"/>
        <v>8.1</v>
      </c>
      <c r="I39" s="56">
        <f t="shared" si="3"/>
        <v>8.1</v>
      </c>
      <c r="J39" s="79">
        <f t="shared" si="4"/>
        <v>2</v>
      </c>
      <c r="K39" s="76" t="s">
        <v>5</v>
      </c>
      <c r="L39" s="167">
        <v>12</v>
      </c>
      <c r="M39" s="61" t="str">
        <f t="shared" si="5"/>
        <v>safe</v>
      </c>
      <c r="N39" s="30">
        <v>0.82599999999999996</v>
      </c>
      <c r="O39" s="39">
        <f t="shared" si="6"/>
        <v>0.85657840710584998</v>
      </c>
      <c r="P39" s="30" t="b">
        <f t="shared" si="7"/>
        <v>1</v>
      </c>
    </row>
    <row r="40" spans="1:16" ht="15" customHeight="1" x14ac:dyDescent="0.2">
      <c r="A40" s="161">
        <v>10</v>
      </c>
      <c r="B40" s="173">
        <f>F23</f>
        <v>2.9702499999999996</v>
      </c>
      <c r="C40" s="74">
        <f t="shared" ref="C40:C46" si="10">$F$10*100/2</f>
        <v>300</v>
      </c>
      <c r="D40" s="162">
        <v>18</v>
      </c>
      <c r="E40" s="42">
        <f t="shared" si="8"/>
        <v>8.5808021659375573</v>
      </c>
      <c r="F40" s="42">
        <f t="shared" si="9"/>
        <v>0.82599999999999996</v>
      </c>
      <c r="G40" s="56">
        <f t="shared" si="1"/>
        <v>1.8497655915264199</v>
      </c>
      <c r="H40" s="56">
        <f t="shared" si="2"/>
        <v>8.1</v>
      </c>
      <c r="I40" s="56">
        <f t="shared" si="3"/>
        <v>8.1</v>
      </c>
      <c r="J40" s="79">
        <f t="shared" si="4"/>
        <v>2</v>
      </c>
      <c r="K40" s="76" t="s">
        <v>5</v>
      </c>
      <c r="L40" s="167">
        <v>12</v>
      </c>
      <c r="M40" s="61" t="str">
        <f t="shared" si="5"/>
        <v>safe</v>
      </c>
      <c r="N40" s="30">
        <v>0.82599999999999996</v>
      </c>
      <c r="O40" s="39">
        <f t="shared" si="6"/>
        <v>0.85657840710584998</v>
      </c>
      <c r="P40" s="30" t="b">
        <f t="shared" si="7"/>
        <v>1</v>
      </c>
    </row>
    <row r="41" spans="1:16" ht="15" customHeight="1" x14ac:dyDescent="0.2">
      <c r="A41" s="161">
        <v>11</v>
      </c>
      <c r="B41" s="173">
        <f>H24</f>
        <v>2.4752083333333332</v>
      </c>
      <c r="C41" s="74">
        <f t="shared" si="10"/>
        <v>300</v>
      </c>
      <c r="D41" s="162">
        <v>18</v>
      </c>
      <c r="E41" s="42">
        <f t="shared" si="8"/>
        <v>9.3997978155463748</v>
      </c>
      <c r="F41" s="42">
        <f t="shared" si="9"/>
        <v>0.82599999999999996</v>
      </c>
      <c r="G41" s="56">
        <f t="shared" si="1"/>
        <v>1.541471326272017</v>
      </c>
      <c r="H41" s="56">
        <f t="shared" si="2"/>
        <v>8.1</v>
      </c>
      <c r="I41" s="56">
        <f t="shared" si="3"/>
        <v>8.1</v>
      </c>
      <c r="J41" s="79">
        <f t="shared" si="4"/>
        <v>2</v>
      </c>
      <c r="K41" s="76" t="s">
        <v>5</v>
      </c>
      <c r="L41" s="167">
        <v>12</v>
      </c>
      <c r="M41" s="61" t="str">
        <f t="shared" si="5"/>
        <v>safe</v>
      </c>
      <c r="N41" s="30">
        <v>0.82599999999999996</v>
      </c>
      <c r="O41" s="39">
        <f t="shared" si="6"/>
        <v>0.85884485500583996</v>
      </c>
      <c r="P41" s="30" t="b">
        <f t="shared" si="7"/>
        <v>1</v>
      </c>
    </row>
    <row r="42" spans="1:16" ht="15" customHeight="1" x14ac:dyDescent="0.2">
      <c r="A42" s="161">
        <v>12</v>
      </c>
      <c r="B42" s="173">
        <f>J23</f>
        <v>4.4553750000000001</v>
      </c>
      <c r="C42" s="74">
        <f t="shared" si="10"/>
        <v>300</v>
      </c>
      <c r="D42" s="162">
        <v>18</v>
      </c>
      <c r="E42" s="42">
        <f t="shared" si="8"/>
        <v>7.0061956301052417</v>
      </c>
      <c r="F42" s="42">
        <f t="shared" si="9"/>
        <v>0.82599999999999996</v>
      </c>
      <c r="G42" s="56">
        <f t="shared" si="1"/>
        <v>2.7746483872896306</v>
      </c>
      <c r="H42" s="56">
        <f t="shared" si="2"/>
        <v>8.1</v>
      </c>
      <c r="I42" s="56">
        <f t="shared" si="3"/>
        <v>8.1</v>
      </c>
      <c r="J42" s="79">
        <f t="shared" si="4"/>
        <v>3</v>
      </c>
      <c r="K42" s="76" t="s">
        <v>5</v>
      </c>
      <c r="L42" s="167">
        <v>12</v>
      </c>
      <c r="M42" s="61" t="str">
        <f t="shared" si="5"/>
        <v>safe</v>
      </c>
      <c r="N42" s="30">
        <v>0.82599999999999996</v>
      </c>
      <c r="O42" s="39">
        <f t="shared" si="6"/>
        <v>0.84970475040305327</v>
      </c>
      <c r="P42" s="30" t="b">
        <f t="shared" si="7"/>
        <v>1</v>
      </c>
    </row>
    <row r="43" spans="1:16" ht="15" customHeight="1" x14ac:dyDescent="0.2">
      <c r="A43" s="161">
        <v>13</v>
      </c>
      <c r="B43" s="173">
        <f>D27</f>
        <v>1.9801666666666666</v>
      </c>
      <c r="C43" s="74">
        <f t="shared" si="10"/>
        <v>300</v>
      </c>
      <c r="D43" s="162">
        <v>18</v>
      </c>
      <c r="E43" s="42">
        <f t="shared" si="8"/>
        <v>10.509293445157862</v>
      </c>
      <c r="F43" s="42">
        <f t="shared" si="9"/>
        <v>0.82599999999999996</v>
      </c>
      <c r="G43" s="56">
        <f t="shared" si="1"/>
        <v>1.2331770610176132</v>
      </c>
      <c r="H43" s="56">
        <f t="shared" si="2"/>
        <v>8.1</v>
      </c>
      <c r="I43" s="56">
        <f t="shared" si="3"/>
        <v>8.1</v>
      </c>
      <c r="J43" s="79">
        <f t="shared" si="4"/>
        <v>2</v>
      </c>
      <c r="K43" s="76" t="s">
        <v>5</v>
      </c>
      <c r="L43" s="167">
        <v>12</v>
      </c>
      <c r="M43" s="61" t="str">
        <f t="shared" si="5"/>
        <v>safe</v>
      </c>
      <c r="N43" s="30">
        <v>0.82599999999999996</v>
      </c>
      <c r="O43" s="39">
        <f t="shared" si="6"/>
        <v>0.86109924770167945</v>
      </c>
      <c r="P43" s="30" t="b">
        <f t="shared" si="7"/>
        <v>1</v>
      </c>
    </row>
    <row r="44" spans="1:16" ht="15" customHeight="1" x14ac:dyDescent="0.2">
      <c r="A44" s="161">
        <v>14</v>
      </c>
      <c r="B44" s="173">
        <f>F26</f>
        <v>1.9801666666666666</v>
      </c>
      <c r="C44" s="74">
        <f t="shared" si="10"/>
        <v>300</v>
      </c>
      <c r="D44" s="162">
        <v>18</v>
      </c>
      <c r="E44" s="42">
        <f t="shared" si="8"/>
        <v>10.509293445157862</v>
      </c>
      <c r="F44" s="42">
        <f t="shared" si="9"/>
        <v>0.82599999999999996</v>
      </c>
      <c r="G44" s="56">
        <f t="shared" si="1"/>
        <v>1.2331770610176132</v>
      </c>
      <c r="H44" s="56">
        <f t="shared" si="2"/>
        <v>8.1</v>
      </c>
      <c r="I44" s="56">
        <f t="shared" si="3"/>
        <v>8.1</v>
      </c>
      <c r="J44" s="79">
        <f t="shared" si="4"/>
        <v>2</v>
      </c>
      <c r="K44" s="76" t="s">
        <v>5</v>
      </c>
      <c r="L44" s="167">
        <v>12</v>
      </c>
      <c r="M44" s="61" t="str">
        <f t="shared" si="5"/>
        <v>safe</v>
      </c>
      <c r="N44" s="30">
        <v>0.82599999999999996</v>
      </c>
      <c r="O44" s="39">
        <f t="shared" si="6"/>
        <v>0.86109924770167945</v>
      </c>
      <c r="P44" s="30" t="b">
        <f t="shared" si="7"/>
        <v>1</v>
      </c>
    </row>
    <row r="45" spans="1:16" ht="15" customHeight="1" x14ac:dyDescent="0.2">
      <c r="A45" s="161">
        <v>15</v>
      </c>
      <c r="B45" s="173">
        <f>H27</f>
        <v>1.4851249999999998</v>
      </c>
      <c r="C45" s="74">
        <f t="shared" si="10"/>
        <v>300</v>
      </c>
      <c r="D45" s="162">
        <v>18</v>
      </c>
      <c r="E45" s="42">
        <f t="shared" si="8"/>
        <v>12.135086799109322</v>
      </c>
      <c r="F45" s="42">
        <f t="shared" si="9"/>
        <v>0.82599999999999996</v>
      </c>
      <c r="G45" s="56">
        <f t="shared" si="1"/>
        <v>0.92488279576320997</v>
      </c>
      <c r="H45" s="56">
        <f t="shared" si="2"/>
        <v>8.1</v>
      </c>
      <c r="I45" s="56">
        <f t="shared" si="3"/>
        <v>8.1</v>
      </c>
      <c r="J45" s="79">
        <f t="shared" si="4"/>
        <v>1</v>
      </c>
      <c r="K45" s="76" t="s">
        <v>5</v>
      </c>
      <c r="L45" s="167">
        <v>12</v>
      </c>
      <c r="M45" s="61" t="str">
        <f t="shared" si="5"/>
        <v>safe</v>
      </c>
      <c r="N45" s="30">
        <v>0.82599999999999996</v>
      </c>
      <c r="O45" s="39">
        <f t="shared" si="6"/>
        <v>0.86334177553555635</v>
      </c>
      <c r="P45" s="30" t="b">
        <f t="shared" si="7"/>
        <v>1</v>
      </c>
    </row>
    <row r="46" spans="1:16" ht="15" customHeight="1" thickBot="1" x14ac:dyDescent="0.25">
      <c r="A46" s="163">
        <v>16</v>
      </c>
      <c r="B46" s="174">
        <f>J26</f>
        <v>1.4851249999999998</v>
      </c>
      <c r="C46" s="77">
        <f t="shared" si="10"/>
        <v>300</v>
      </c>
      <c r="D46" s="160">
        <v>18</v>
      </c>
      <c r="E46" s="37">
        <f t="shared" si="8"/>
        <v>12.135086799109322</v>
      </c>
      <c r="F46" s="37">
        <f t="shared" si="9"/>
        <v>0.82599999999999996</v>
      </c>
      <c r="G46" s="62">
        <f t="shared" si="1"/>
        <v>0.92488279576320997</v>
      </c>
      <c r="H46" s="62">
        <f t="shared" si="2"/>
        <v>8.1</v>
      </c>
      <c r="I46" s="62">
        <f t="shared" si="3"/>
        <v>8.1</v>
      </c>
      <c r="J46" s="80">
        <f t="shared" si="4"/>
        <v>1</v>
      </c>
      <c r="K46" s="64" t="s">
        <v>5</v>
      </c>
      <c r="L46" s="175">
        <v>12</v>
      </c>
      <c r="M46" s="65" t="str">
        <f t="shared" si="5"/>
        <v>safe</v>
      </c>
      <c r="N46" s="30">
        <v>0.82599999999999996</v>
      </c>
      <c r="O46" s="39">
        <f t="shared" si="6"/>
        <v>0.86334177553555635</v>
      </c>
      <c r="P46" s="30" t="b">
        <f t="shared" si="7"/>
        <v>1</v>
      </c>
    </row>
  </sheetData>
  <sheetProtection sheet="1" objects="1" scenarios="1"/>
  <mergeCells count="6">
    <mergeCell ref="C4:M4"/>
    <mergeCell ref="M29:M30"/>
    <mergeCell ref="A29:A30"/>
    <mergeCell ref="E29:E30"/>
    <mergeCell ref="F29:F30"/>
    <mergeCell ref="J29:L30"/>
  </mergeCells>
  <phoneticPr fontId="0" type="noConversion"/>
  <pageMargins left="0.75" right="0.75" top="1" bottom="1" header="0.5" footer="0.5"/>
  <pageSetup paperSize="9" orientation="portrait" r:id="rId1"/>
  <headerFooter alignWithMargins="0">
    <oddHeader>&amp;R&amp;"Arial,Bold Italic"&amp;9Concrete design using the ultimate limit design method.</oddHeader>
    <oddFooter>&amp;L&amp;"Arial,Bold Italic"&amp;9By: Eng. Mahmoud El-Kateb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6"/>
  <sheetViews>
    <sheetView topLeftCell="A2" workbookViewId="0">
      <selection activeCell="K16" sqref="K16"/>
    </sheetView>
  </sheetViews>
  <sheetFormatPr defaultColWidth="9.140625" defaultRowHeight="12.75" x14ac:dyDescent="0.2"/>
  <cols>
    <col min="1" max="1" width="4.5703125" style="30" customWidth="1"/>
    <col min="2" max="2" width="14.85546875" style="30" customWidth="1"/>
    <col min="3" max="3" width="7.7109375" style="30" customWidth="1"/>
    <col min="4" max="6" width="8.28515625" style="30" customWidth="1"/>
    <col min="7" max="7" width="7.42578125" style="30" customWidth="1"/>
    <col min="8" max="8" width="6.5703125" style="30" customWidth="1"/>
    <col min="9" max="9" width="6.7109375" style="30" customWidth="1"/>
    <col min="10" max="10" width="7.7109375" style="30" customWidth="1"/>
    <col min="11" max="11" width="6.7109375" style="30" customWidth="1"/>
    <col min="12" max="12" width="7.140625" style="30" customWidth="1"/>
    <col min="13" max="13" width="4" style="30" customWidth="1"/>
    <col min="14" max="14" width="2.85546875" style="30" customWidth="1"/>
    <col min="15" max="15" width="3.85546875" style="30" customWidth="1"/>
    <col min="16" max="16" width="7.42578125" style="38" bestFit="1" customWidth="1"/>
    <col min="17" max="23" width="9.140625" style="30" hidden="1" customWidth="1"/>
    <col min="24" max="24" width="9.140625" style="30"/>
    <col min="25" max="25" width="10.28515625" style="30" customWidth="1"/>
    <col min="26" max="16384" width="9.140625" style="30"/>
  </cols>
  <sheetData>
    <row r="1" spans="1:24" ht="22.5" x14ac:dyDescent="0.3">
      <c r="A1" s="34" t="s">
        <v>18</v>
      </c>
    </row>
    <row r="4" spans="1:24" ht="18.75" x14ac:dyDescent="0.3">
      <c r="B4" s="35" t="s">
        <v>33</v>
      </c>
      <c r="C4" s="270" t="s">
        <v>255</v>
      </c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</row>
    <row r="5" spans="1:24" ht="15.75" x14ac:dyDescent="0.25">
      <c r="B5" s="36"/>
    </row>
    <row r="6" spans="1:24" ht="13.5" thickBot="1" x14ac:dyDescent="0.25">
      <c r="X6" s="51"/>
    </row>
    <row r="7" spans="1:24" ht="22.5" customHeight="1" thickTop="1" x14ac:dyDescent="0.3">
      <c r="B7" s="52" t="s">
        <v>9</v>
      </c>
      <c r="C7" s="165">
        <v>250</v>
      </c>
      <c r="D7" s="53" t="s">
        <v>8</v>
      </c>
      <c r="E7" s="50"/>
      <c r="F7" s="50"/>
    </row>
    <row r="8" spans="1:24" ht="22.5" customHeight="1" thickBot="1" x14ac:dyDescent="0.35">
      <c r="B8" s="54" t="s">
        <v>44</v>
      </c>
      <c r="C8" s="166">
        <v>3600</v>
      </c>
      <c r="D8" s="55" t="s">
        <v>8</v>
      </c>
      <c r="E8" s="50"/>
      <c r="F8" s="50"/>
    </row>
    <row r="9" spans="1:24" ht="15.75" thickTop="1" x14ac:dyDescent="0.25">
      <c r="B9" s="50"/>
      <c r="C9" s="40"/>
      <c r="D9" s="40"/>
      <c r="E9" s="40"/>
      <c r="F9" s="40"/>
      <c r="G9" s="50"/>
    </row>
    <row r="10" spans="1:24" ht="13.5" thickBot="1" x14ac:dyDescent="0.25"/>
    <row r="11" spans="1:24" ht="15" customHeight="1" x14ac:dyDescent="0.25">
      <c r="A11" s="268" t="s">
        <v>10</v>
      </c>
      <c r="B11" s="6" t="s">
        <v>91</v>
      </c>
      <c r="C11" s="6" t="s">
        <v>6</v>
      </c>
      <c r="D11" s="6" t="s">
        <v>163</v>
      </c>
      <c r="E11" s="6" t="s">
        <v>251</v>
      </c>
      <c r="F11" s="6" t="s">
        <v>253</v>
      </c>
      <c r="G11" s="6" t="s">
        <v>7</v>
      </c>
      <c r="H11" s="277" t="s">
        <v>0</v>
      </c>
      <c r="I11" s="277" t="s">
        <v>1</v>
      </c>
      <c r="J11" s="16"/>
      <c r="K11" s="16" t="s">
        <v>160</v>
      </c>
      <c r="L11" s="16" t="s">
        <v>12</v>
      </c>
      <c r="M11" s="281" t="s">
        <v>204</v>
      </c>
      <c r="N11" s="282"/>
      <c r="O11" s="283"/>
      <c r="P11" s="279" t="s">
        <v>13</v>
      </c>
    </row>
    <row r="12" spans="1:24" ht="17.25" customHeight="1" thickBot="1" x14ac:dyDescent="0.3">
      <c r="A12" s="269"/>
      <c r="B12" s="8" t="s">
        <v>57</v>
      </c>
      <c r="C12" s="8" t="s">
        <v>3</v>
      </c>
      <c r="D12" s="8" t="s">
        <v>27</v>
      </c>
      <c r="E12" s="8" t="s">
        <v>252</v>
      </c>
      <c r="F12" s="8" t="s">
        <v>254</v>
      </c>
      <c r="G12" s="8" t="s">
        <v>4</v>
      </c>
      <c r="H12" s="278"/>
      <c r="I12" s="278"/>
      <c r="J12" s="17" t="s">
        <v>2</v>
      </c>
      <c r="K12" s="17" t="s">
        <v>184</v>
      </c>
      <c r="L12" s="17" t="s">
        <v>2</v>
      </c>
      <c r="M12" s="284"/>
      <c r="N12" s="285"/>
      <c r="O12" s="286"/>
      <c r="P12" s="280"/>
    </row>
    <row r="13" spans="1:24" ht="15" customHeight="1" x14ac:dyDescent="0.2">
      <c r="A13" s="161">
        <v>1</v>
      </c>
      <c r="B13" s="162">
        <v>15</v>
      </c>
      <c r="C13" s="162">
        <v>25</v>
      </c>
      <c r="D13" s="162">
        <f>C13</f>
        <v>25</v>
      </c>
      <c r="E13" s="162">
        <v>5</v>
      </c>
      <c r="F13" s="162">
        <v>50</v>
      </c>
      <c r="G13" s="162">
        <f>F13-E13</f>
        <v>45</v>
      </c>
      <c r="H13" s="42">
        <f>G13*($C$7*D13/B13/10^5)^0.5</f>
        <v>2.9047375096555625</v>
      </c>
      <c r="I13" s="42">
        <f>MIN(Q13:R13)</f>
        <v>0.73315947758552646</v>
      </c>
      <c r="J13" s="56">
        <f>B13*10^5/$C$8/I13/G13</f>
        <v>12.629256720178079</v>
      </c>
      <c r="K13" s="56">
        <f>MAX(U13:V13)</f>
        <v>3.4375000000000004</v>
      </c>
      <c r="L13" s="56">
        <f>MAX(J13:K13)</f>
        <v>12.629256720178079</v>
      </c>
      <c r="M13" s="57">
        <f>INT(L13*400/3.14/O13^2)+1</f>
        <v>5</v>
      </c>
      <c r="N13" s="75" t="s">
        <v>5</v>
      </c>
      <c r="O13" s="167">
        <v>20</v>
      </c>
      <c r="P13" s="59" t="str">
        <f>IF(W13,"safe","unsafe")</f>
        <v>safe</v>
      </c>
      <c r="Q13" s="30">
        <v>0.82599999999999996</v>
      </c>
      <c r="R13" s="39">
        <f>0.5*(0.87+(0.7569-3.386/H13^2)^0.5)</f>
        <v>0.73315947758552646</v>
      </c>
      <c r="S13" s="30">
        <f>11/$C$8*C13*G13</f>
        <v>3.4375000000000004</v>
      </c>
      <c r="T13" s="30">
        <f>1.33*J13</f>
        <v>16.796911437836847</v>
      </c>
      <c r="U13" s="30">
        <f>MIN(S13:T13)</f>
        <v>3.4375000000000004</v>
      </c>
      <c r="V13" s="30">
        <f>0.15/100*C13*G13</f>
        <v>1.6875</v>
      </c>
      <c r="W13" s="30" t="b">
        <f>H13&gt;2.78</f>
        <v>1</v>
      </c>
    </row>
    <row r="14" spans="1:24" ht="15" customHeight="1" x14ac:dyDescent="0.2">
      <c r="A14" s="161">
        <v>2</v>
      </c>
      <c r="B14" s="162">
        <v>10.26</v>
      </c>
      <c r="C14" s="162">
        <v>25</v>
      </c>
      <c r="D14" s="162">
        <f t="shared" ref="D14:D46" si="0">C14</f>
        <v>25</v>
      </c>
      <c r="E14" s="162">
        <v>5</v>
      </c>
      <c r="F14" s="162">
        <v>60</v>
      </c>
      <c r="G14" s="162">
        <f t="shared" ref="G14:G46" si="1">F14-E14</f>
        <v>55</v>
      </c>
      <c r="H14" s="42">
        <f t="shared" ref="H14:H46" si="2">G14*($C$7*D14/B14/10^5)^0.5</f>
        <v>4.2926849697494305</v>
      </c>
      <c r="I14" s="42">
        <f>MIN(Q14:R14)</f>
        <v>0.81353313446024444</v>
      </c>
      <c r="J14" s="56">
        <f t="shared" ref="J14:J46" si="3">B14*10^5/$C$8/I14/G14</f>
        <v>6.369523209716796</v>
      </c>
      <c r="K14" s="56">
        <f>MAX(U14:V14)</f>
        <v>4.2013888888888893</v>
      </c>
      <c r="L14" s="56">
        <f>MAX(J14:K14)</f>
        <v>6.369523209716796</v>
      </c>
      <c r="M14" s="57">
        <f t="shared" ref="M14:M46" si="4">INT(L14*400/3.14/O14^2)+1</f>
        <v>4</v>
      </c>
      <c r="N14" s="76" t="s">
        <v>5</v>
      </c>
      <c r="O14" s="167">
        <v>16</v>
      </c>
      <c r="P14" s="78" t="str">
        <f t="shared" ref="P14:P46" si="5">IF(W14,"safe","unsafe")</f>
        <v>safe</v>
      </c>
      <c r="Q14" s="30">
        <v>0.82599999999999996</v>
      </c>
      <c r="R14" s="39">
        <f t="shared" ref="R14:R46" si="6">0.5*(0.87+(0.7569-3.386/H14^2)^0.5)</f>
        <v>0.81353313446024444</v>
      </c>
      <c r="S14" s="30">
        <f t="shared" ref="S14:S46" si="7">11/$C$8*C14*G14</f>
        <v>4.2013888888888893</v>
      </c>
      <c r="T14" s="30">
        <f t="shared" ref="T14:T46" si="8">1.33*J14</f>
        <v>8.4714658689233389</v>
      </c>
      <c r="U14" s="30">
        <f t="shared" ref="U14:U46" si="9">MIN(S14:T14)</f>
        <v>4.2013888888888893</v>
      </c>
      <c r="V14" s="30">
        <f t="shared" ref="V14:V46" si="10">0.15/100*C14*G14</f>
        <v>2.0625</v>
      </c>
      <c r="W14" s="30" t="b">
        <f t="shared" ref="W14:W46" si="11">H14&gt;2.78</f>
        <v>1</v>
      </c>
    </row>
    <row r="15" spans="1:24" ht="15" customHeight="1" x14ac:dyDescent="0.2">
      <c r="A15" s="161">
        <v>3</v>
      </c>
      <c r="B15" s="162">
        <v>2.8</v>
      </c>
      <c r="C15" s="162">
        <v>25</v>
      </c>
      <c r="D15" s="162">
        <f t="shared" si="0"/>
        <v>25</v>
      </c>
      <c r="E15" s="162">
        <v>5</v>
      </c>
      <c r="F15" s="162">
        <v>60</v>
      </c>
      <c r="G15" s="162">
        <f t="shared" si="1"/>
        <v>55</v>
      </c>
      <c r="H15" s="42">
        <f t="shared" si="2"/>
        <v>8.2171966891739565</v>
      </c>
      <c r="I15" s="42">
        <f>MIN(Q15:R15)</f>
        <v>0.82599999999999996</v>
      </c>
      <c r="J15" s="56">
        <f t="shared" si="3"/>
        <v>1.7120356103406951</v>
      </c>
      <c r="K15" s="56">
        <f>MAX(U15:V15)</f>
        <v>2.2770073617531246</v>
      </c>
      <c r="L15" s="56">
        <f>MAX(J15:K15)</f>
        <v>2.2770073617531246</v>
      </c>
      <c r="M15" s="57">
        <f t="shared" si="4"/>
        <v>2</v>
      </c>
      <c r="N15" s="76" t="s">
        <v>5</v>
      </c>
      <c r="O15" s="167">
        <v>13</v>
      </c>
      <c r="P15" s="78" t="str">
        <f t="shared" si="5"/>
        <v>safe</v>
      </c>
      <c r="Q15" s="30">
        <v>0.82599999999999996</v>
      </c>
      <c r="R15" s="39">
        <f t="shared" si="6"/>
        <v>0.85534319901561118</v>
      </c>
      <c r="S15" s="30">
        <f t="shared" si="7"/>
        <v>4.2013888888888893</v>
      </c>
      <c r="T15" s="30">
        <f t="shared" si="8"/>
        <v>2.2770073617531246</v>
      </c>
      <c r="U15" s="30">
        <f t="shared" si="9"/>
        <v>2.2770073617531246</v>
      </c>
      <c r="V15" s="30">
        <f t="shared" si="10"/>
        <v>2.0625</v>
      </c>
      <c r="W15" s="30" t="b">
        <f t="shared" si="11"/>
        <v>1</v>
      </c>
    </row>
    <row r="16" spans="1:24" ht="15" customHeight="1" x14ac:dyDescent="0.2">
      <c r="A16" s="161">
        <v>4</v>
      </c>
      <c r="B16" s="162">
        <v>7.7</v>
      </c>
      <c r="C16" s="162">
        <v>25</v>
      </c>
      <c r="D16" s="162">
        <f t="shared" si="0"/>
        <v>25</v>
      </c>
      <c r="E16" s="162">
        <v>5</v>
      </c>
      <c r="F16" s="162">
        <v>60</v>
      </c>
      <c r="G16" s="162">
        <f t="shared" si="1"/>
        <v>55</v>
      </c>
      <c r="H16" s="42">
        <f t="shared" si="2"/>
        <v>4.955156044825574</v>
      </c>
      <c r="I16" s="42">
        <f t="shared" ref="I16:I46" si="12">MIN(Q16:R16)</f>
        <v>0.82599999999999996</v>
      </c>
      <c r="J16" s="56">
        <f t="shared" si="3"/>
        <v>4.7080979284369109</v>
      </c>
      <c r="K16" s="56">
        <f t="shared" ref="K16:K46" si="13">MAX(U16:V16)</f>
        <v>4.2013888888888893</v>
      </c>
      <c r="L16" s="56">
        <f t="shared" ref="L16:L46" si="14">MAX(J16:K16)</f>
        <v>4.7080979284369109</v>
      </c>
      <c r="M16" s="57">
        <f t="shared" si="4"/>
        <v>3</v>
      </c>
      <c r="N16" s="76" t="s">
        <v>5</v>
      </c>
      <c r="O16" s="167">
        <v>16</v>
      </c>
      <c r="P16" s="78" t="str">
        <f t="shared" si="5"/>
        <v>safe</v>
      </c>
      <c r="Q16" s="30">
        <v>0.82599999999999996</v>
      </c>
      <c r="R16" s="39">
        <f t="shared" si="6"/>
        <v>0.82838195641941126</v>
      </c>
      <c r="S16" s="30">
        <f t="shared" si="7"/>
        <v>4.2013888888888893</v>
      </c>
      <c r="T16" s="30">
        <f t="shared" si="8"/>
        <v>6.2617702448210917</v>
      </c>
      <c r="U16" s="30">
        <f t="shared" si="9"/>
        <v>4.2013888888888893</v>
      </c>
      <c r="V16" s="30">
        <f t="shared" si="10"/>
        <v>2.0625</v>
      </c>
      <c r="W16" s="30" t="b">
        <f t="shared" si="11"/>
        <v>1</v>
      </c>
    </row>
    <row r="17" spans="1:23" ht="15" customHeight="1" x14ac:dyDescent="0.2">
      <c r="A17" s="161">
        <v>5</v>
      </c>
      <c r="B17" s="162">
        <v>5.5</v>
      </c>
      <c r="C17" s="162">
        <v>25</v>
      </c>
      <c r="D17" s="162">
        <f t="shared" si="0"/>
        <v>25</v>
      </c>
      <c r="E17" s="162">
        <v>5</v>
      </c>
      <c r="F17" s="162">
        <v>60</v>
      </c>
      <c r="G17" s="162">
        <f t="shared" si="1"/>
        <v>55</v>
      </c>
      <c r="H17" s="42">
        <f t="shared" si="2"/>
        <v>5.8630196997792865</v>
      </c>
      <c r="I17" s="42">
        <f t="shared" si="12"/>
        <v>0.82599999999999996</v>
      </c>
      <c r="J17" s="56">
        <f t="shared" si="3"/>
        <v>3.3629270917406511</v>
      </c>
      <c r="K17" s="56">
        <f t="shared" si="13"/>
        <v>4.2013888888888893</v>
      </c>
      <c r="L17" s="56">
        <f t="shared" si="14"/>
        <v>4.2013888888888893</v>
      </c>
      <c r="M17" s="57">
        <f t="shared" si="4"/>
        <v>3</v>
      </c>
      <c r="N17" s="76" t="s">
        <v>5</v>
      </c>
      <c r="O17" s="167">
        <v>16</v>
      </c>
      <c r="P17" s="78" t="str">
        <f t="shared" si="5"/>
        <v>safe</v>
      </c>
      <c r="Q17" s="30">
        <v>0.82599999999999996</v>
      </c>
      <c r="R17" s="39">
        <f t="shared" si="6"/>
        <v>0.84070869531542636</v>
      </c>
      <c r="S17" s="30">
        <f t="shared" si="7"/>
        <v>4.2013888888888893</v>
      </c>
      <c r="T17" s="30">
        <f t="shared" si="8"/>
        <v>4.4726930320150657</v>
      </c>
      <c r="U17" s="30">
        <f t="shared" si="9"/>
        <v>4.2013888888888893</v>
      </c>
      <c r="V17" s="30">
        <f t="shared" si="10"/>
        <v>2.0625</v>
      </c>
      <c r="W17" s="30" t="b">
        <f t="shared" si="11"/>
        <v>1</v>
      </c>
    </row>
    <row r="18" spans="1:23" ht="15" customHeight="1" x14ac:dyDescent="0.2">
      <c r="A18" s="161">
        <v>6</v>
      </c>
      <c r="B18" s="162">
        <v>7.7</v>
      </c>
      <c r="C18" s="162">
        <v>25</v>
      </c>
      <c r="D18" s="162">
        <f t="shared" si="0"/>
        <v>25</v>
      </c>
      <c r="E18" s="162">
        <v>5</v>
      </c>
      <c r="F18" s="162">
        <v>60</v>
      </c>
      <c r="G18" s="162">
        <f t="shared" si="1"/>
        <v>55</v>
      </c>
      <c r="H18" s="42">
        <f t="shared" si="2"/>
        <v>4.955156044825574</v>
      </c>
      <c r="I18" s="42">
        <f t="shared" si="12"/>
        <v>0.82599999999999996</v>
      </c>
      <c r="J18" s="56">
        <f t="shared" si="3"/>
        <v>4.7080979284369109</v>
      </c>
      <c r="K18" s="56">
        <f t="shared" si="13"/>
        <v>4.2013888888888893</v>
      </c>
      <c r="L18" s="56">
        <f t="shared" si="14"/>
        <v>4.7080979284369109</v>
      </c>
      <c r="M18" s="57">
        <f t="shared" si="4"/>
        <v>3</v>
      </c>
      <c r="N18" s="76" t="s">
        <v>5</v>
      </c>
      <c r="O18" s="167">
        <v>16</v>
      </c>
      <c r="P18" s="78" t="str">
        <f t="shared" si="5"/>
        <v>safe</v>
      </c>
      <c r="Q18" s="30">
        <v>0.82599999999999996</v>
      </c>
      <c r="R18" s="39">
        <f t="shared" si="6"/>
        <v>0.82838195641941126</v>
      </c>
      <c r="S18" s="30">
        <f t="shared" si="7"/>
        <v>4.2013888888888893</v>
      </c>
      <c r="T18" s="30">
        <f t="shared" si="8"/>
        <v>6.2617702448210917</v>
      </c>
      <c r="U18" s="30">
        <f t="shared" si="9"/>
        <v>4.2013888888888893</v>
      </c>
      <c r="V18" s="30">
        <f t="shared" si="10"/>
        <v>2.0625</v>
      </c>
      <c r="W18" s="30" t="b">
        <f t="shared" si="11"/>
        <v>1</v>
      </c>
    </row>
    <row r="19" spans="1:23" ht="15" customHeight="1" x14ac:dyDescent="0.2">
      <c r="A19" s="161">
        <v>7</v>
      </c>
      <c r="B19" s="162">
        <v>10.91</v>
      </c>
      <c r="C19" s="162">
        <v>25</v>
      </c>
      <c r="D19" s="162">
        <f t="shared" si="0"/>
        <v>25</v>
      </c>
      <c r="E19" s="162">
        <v>5</v>
      </c>
      <c r="F19" s="162">
        <v>60</v>
      </c>
      <c r="G19" s="162">
        <f t="shared" si="1"/>
        <v>55</v>
      </c>
      <c r="H19" s="42">
        <f t="shared" si="2"/>
        <v>4.1628457885896237</v>
      </c>
      <c r="I19" s="42">
        <f t="shared" si="12"/>
        <v>0.80966925800305789</v>
      </c>
      <c r="J19" s="56">
        <f t="shared" si="3"/>
        <v>6.8053726328833894</v>
      </c>
      <c r="K19" s="56">
        <f t="shared" si="13"/>
        <v>4.2013888888888893</v>
      </c>
      <c r="L19" s="56">
        <f t="shared" si="14"/>
        <v>6.8053726328833894</v>
      </c>
      <c r="M19" s="57">
        <f t="shared" si="4"/>
        <v>4</v>
      </c>
      <c r="N19" s="76" t="s">
        <v>5</v>
      </c>
      <c r="O19" s="167">
        <v>16</v>
      </c>
      <c r="P19" s="78" t="str">
        <f t="shared" si="5"/>
        <v>safe</v>
      </c>
      <c r="Q19" s="30">
        <v>0.82599999999999996</v>
      </c>
      <c r="R19" s="39">
        <f t="shared" si="6"/>
        <v>0.80966925800305789</v>
      </c>
      <c r="S19" s="30">
        <f t="shared" si="7"/>
        <v>4.2013888888888893</v>
      </c>
      <c r="T19" s="30">
        <f t="shared" si="8"/>
        <v>9.051145601734909</v>
      </c>
      <c r="U19" s="30">
        <f t="shared" si="9"/>
        <v>4.2013888888888893</v>
      </c>
      <c r="V19" s="30">
        <f t="shared" si="10"/>
        <v>2.0625</v>
      </c>
      <c r="W19" s="30" t="b">
        <f t="shared" si="11"/>
        <v>1</v>
      </c>
    </row>
    <row r="20" spans="1:23" ht="15" customHeight="1" x14ac:dyDescent="0.2">
      <c r="A20" s="161">
        <v>8</v>
      </c>
      <c r="B20" s="162">
        <v>7.89</v>
      </c>
      <c r="C20" s="162">
        <v>25</v>
      </c>
      <c r="D20" s="162">
        <f t="shared" si="0"/>
        <v>25</v>
      </c>
      <c r="E20" s="162">
        <v>5</v>
      </c>
      <c r="F20" s="162">
        <v>60</v>
      </c>
      <c r="G20" s="162">
        <f t="shared" si="1"/>
        <v>55</v>
      </c>
      <c r="H20" s="42">
        <f t="shared" si="2"/>
        <v>4.8951296247487184</v>
      </c>
      <c r="I20" s="42">
        <f t="shared" si="12"/>
        <v>0.82599999999999996</v>
      </c>
      <c r="J20" s="56">
        <f t="shared" si="3"/>
        <v>4.8242717734243152</v>
      </c>
      <c r="K20" s="56">
        <f t="shared" si="13"/>
        <v>4.2013888888888893</v>
      </c>
      <c r="L20" s="56">
        <f t="shared" si="14"/>
        <v>4.8242717734243152</v>
      </c>
      <c r="M20" s="57">
        <f t="shared" si="4"/>
        <v>3</v>
      </c>
      <c r="N20" s="76" t="s">
        <v>5</v>
      </c>
      <c r="O20" s="167">
        <v>16</v>
      </c>
      <c r="P20" s="78" t="str">
        <f t="shared" si="5"/>
        <v>safe</v>
      </c>
      <c r="Q20" s="30">
        <v>0.82599999999999996</v>
      </c>
      <c r="R20" s="39">
        <f t="shared" si="6"/>
        <v>0.82729920483694896</v>
      </c>
      <c r="S20" s="30">
        <f t="shared" si="7"/>
        <v>4.2013888888888893</v>
      </c>
      <c r="T20" s="30">
        <f t="shared" si="8"/>
        <v>6.41628145865434</v>
      </c>
      <c r="U20" s="30">
        <f t="shared" si="9"/>
        <v>4.2013888888888893</v>
      </c>
      <c r="V20" s="30">
        <f t="shared" si="10"/>
        <v>2.0625</v>
      </c>
      <c r="W20" s="30" t="b">
        <f t="shared" si="11"/>
        <v>1</v>
      </c>
    </row>
    <row r="21" spans="1:23" ht="15" customHeight="1" x14ac:dyDescent="0.2">
      <c r="A21" s="161">
        <v>9</v>
      </c>
      <c r="B21" s="162">
        <v>15</v>
      </c>
      <c r="C21" s="162">
        <v>25</v>
      </c>
      <c r="D21" s="162">
        <f t="shared" si="0"/>
        <v>25</v>
      </c>
      <c r="E21" s="162">
        <v>5</v>
      </c>
      <c r="F21" s="162">
        <v>60</v>
      </c>
      <c r="G21" s="162">
        <f t="shared" si="1"/>
        <v>55</v>
      </c>
      <c r="H21" s="42">
        <f t="shared" si="2"/>
        <v>3.5502347340234652</v>
      </c>
      <c r="I21" s="42">
        <f t="shared" si="12"/>
        <v>0.78437754567442886</v>
      </c>
      <c r="J21" s="56">
        <f t="shared" si="3"/>
        <v>9.6583050057147375</v>
      </c>
      <c r="K21" s="56">
        <f t="shared" si="13"/>
        <v>4.2013888888888893</v>
      </c>
      <c r="L21" s="56">
        <f t="shared" si="14"/>
        <v>9.6583050057147375</v>
      </c>
      <c r="M21" s="57">
        <f t="shared" si="4"/>
        <v>5</v>
      </c>
      <c r="N21" s="76" t="s">
        <v>5</v>
      </c>
      <c r="O21" s="167">
        <v>16</v>
      </c>
      <c r="P21" s="78" t="str">
        <f t="shared" si="5"/>
        <v>safe</v>
      </c>
      <c r="Q21" s="30">
        <v>0.82599999999999996</v>
      </c>
      <c r="R21" s="39">
        <f t="shared" si="6"/>
        <v>0.78437754567442886</v>
      </c>
      <c r="S21" s="30">
        <f t="shared" si="7"/>
        <v>4.2013888888888893</v>
      </c>
      <c r="T21" s="30">
        <f t="shared" si="8"/>
        <v>12.845545657600601</v>
      </c>
      <c r="U21" s="30">
        <f t="shared" si="9"/>
        <v>4.2013888888888893</v>
      </c>
      <c r="V21" s="30">
        <f t="shared" si="10"/>
        <v>2.0625</v>
      </c>
      <c r="W21" s="30" t="b">
        <f t="shared" si="11"/>
        <v>1</v>
      </c>
    </row>
    <row r="22" spans="1:23" ht="15" customHeight="1" x14ac:dyDescent="0.2">
      <c r="A22" s="161">
        <v>10</v>
      </c>
      <c r="B22" s="162">
        <v>17.95</v>
      </c>
      <c r="C22" s="162">
        <v>25</v>
      </c>
      <c r="D22" s="162">
        <f t="shared" si="0"/>
        <v>25</v>
      </c>
      <c r="E22" s="162">
        <v>5</v>
      </c>
      <c r="F22" s="162">
        <v>60</v>
      </c>
      <c r="G22" s="162">
        <f t="shared" si="1"/>
        <v>55</v>
      </c>
      <c r="H22" s="42">
        <f t="shared" si="2"/>
        <v>3.2454167382655079</v>
      </c>
      <c r="I22" s="42">
        <f t="shared" si="12"/>
        <v>0.76493404049048985</v>
      </c>
      <c r="J22" s="56">
        <f t="shared" si="3"/>
        <v>11.851553318039681</v>
      </c>
      <c r="K22" s="56">
        <f t="shared" si="13"/>
        <v>4.2013888888888893</v>
      </c>
      <c r="L22" s="56">
        <f t="shared" si="14"/>
        <v>11.851553318039681</v>
      </c>
      <c r="M22" s="57">
        <f t="shared" si="4"/>
        <v>6</v>
      </c>
      <c r="N22" s="76" t="s">
        <v>5</v>
      </c>
      <c r="O22" s="167">
        <v>16</v>
      </c>
      <c r="P22" s="78" t="str">
        <f t="shared" si="5"/>
        <v>safe</v>
      </c>
      <c r="Q22" s="30">
        <v>0.82599999999999996</v>
      </c>
      <c r="R22" s="39">
        <f t="shared" si="6"/>
        <v>0.76493404049048985</v>
      </c>
      <c r="S22" s="30">
        <f t="shared" si="7"/>
        <v>4.2013888888888893</v>
      </c>
      <c r="T22" s="30">
        <f t="shared" si="8"/>
        <v>15.762565912992777</v>
      </c>
      <c r="U22" s="30">
        <f t="shared" si="9"/>
        <v>4.2013888888888893</v>
      </c>
      <c r="V22" s="30">
        <f t="shared" si="10"/>
        <v>2.0625</v>
      </c>
      <c r="W22" s="30" t="b">
        <f t="shared" si="11"/>
        <v>1</v>
      </c>
    </row>
    <row r="23" spans="1:23" ht="15" customHeight="1" x14ac:dyDescent="0.2">
      <c r="A23" s="161">
        <v>11</v>
      </c>
      <c r="B23" s="162">
        <v>19.55</v>
      </c>
      <c r="C23" s="162">
        <v>25</v>
      </c>
      <c r="D23" s="162">
        <f t="shared" si="0"/>
        <v>25</v>
      </c>
      <c r="E23" s="162">
        <v>5</v>
      </c>
      <c r="F23" s="162">
        <v>60</v>
      </c>
      <c r="G23" s="162">
        <f t="shared" si="1"/>
        <v>55</v>
      </c>
      <c r="H23" s="42">
        <f t="shared" si="2"/>
        <v>3.109777502094317</v>
      </c>
      <c r="I23" s="42">
        <f t="shared" si="12"/>
        <v>0.75389293262682833</v>
      </c>
      <c r="J23" s="56">
        <f t="shared" si="3"/>
        <v>13.09700216890719</v>
      </c>
      <c r="K23" s="56">
        <f t="shared" si="13"/>
        <v>4.2013888888888893</v>
      </c>
      <c r="L23" s="56">
        <f t="shared" si="14"/>
        <v>13.09700216890719</v>
      </c>
      <c r="M23" s="57">
        <f t="shared" si="4"/>
        <v>7</v>
      </c>
      <c r="N23" s="76" t="s">
        <v>5</v>
      </c>
      <c r="O23" s="167">
        <v>16</v>
      </c>
      <c r="P23" s="78" t="str">
        <f t="shared" si="5"/>
        <v>safe</v>
      </c>
      <c r="Q23" s="30">
        <v>0.82599999999999996</v>
      </c>
      <c r="R23" s="39">
        <f t="shared" si="6"/>
        <v>0.75389293262682833</v>
      </c>
      <c r="S23" s="30">
        <f t="shared" si="7"/>
        <v>4.2013888888888893</v>
      </c>
      <c r="T23" s="30">
        <f t="shared" si="8"/>
        <v>17.419012884646563</v>
      </c>
      <c r="U23" s="30">
        <f t="shared" si="9"/>
        <v>4.2013888888888893</v>
      </c>
      <c r="V23" s="30">
        <f t="shared" si="10"/>
        <v>2.0625</v>
      </c>
      <c r="W23" s="30" t="b">
        <f t="shared" si="11"/>
        <v>1</v>
      </c>
    </row>
    <row r="24" spans="1:23" ht="15" customHeight="1" x14ac:dyDescent="0.2">
      <c r="A24" s="161">
        <v>12</v>
      </c>
      <c r="B24" s="162">
        <v>13.6</v>
      </c>
      <c r="C24" s="162">
        <v>25</v>
      </c>
      <c r="D24" s="162">
        <f t="shared" si="0"/>
        <v>25</v>
      </c>
      <c r="E24" s="162">
        <v>5</v>
      </c>
      <c r="F24" s="162">
        <v>60</v>
      </c>
      <c r="G24" s="162">
        <f t="shared" si="1"/>
        <v>55</v>
      </c>
      <c r="H24" s="42">
        <f t="shared" si="2"/>
        <v>3.7284922437581529</v>
      </c>
      <c r="I24" s="42">
        <f t="shared" si="12"/>
        <v>0.79323590962122814</v>
      </c>
      <c r="J24" s="56">
        <f t="shared" si="3"/>
        <v>8.6590720180162801</v>
      </c>
      <c r="K24" s="56">
        <f t="shared" si="13"/>
        <v>4.2013888888888893</v>
      </c>
      <c r="L24" s="56">
        <f t="shared" si="14"/>
        <v>8.6590720180162801</v>
      </c>
      <c r="M24" s="57">
        <f t="shared" si="4"/>
        <v>5</v>
      </c>
      <c r="N24" s="76" t="s">
        <v>5</v>
      </c>
      <c r="O24" s="167">
        <v>16</v>
      </c>
      <c r="P24" s="78" t="str">
        <f t="shared" si="5"/>
        <v>safe</v>
      </c>
      <c r="Q24" s="30">
        <v>0.82599999999999996</v>
      </c>
      <c r="R24" s="39">
        <f t="shared" si="6"/>
        <v>0.79323590962122814</v>
      </c>
      <c r="S24" s="30">
        <f t="shared" si="7"/>
        <v>4.2013888888888893</v>
      </c>
      <c r="T24" s="30">
        <f t="shared" si="8"/>
        <v>11.516565783961653</v>
      </c>
      <c r="U24" s="30">
        <f t="shared" si="9"/>
        <v>4.2013888888888893</v>
      </c>
      <c r="V24" s="30">
        <f t="shared" si="10"/>
        <v>2.0625</v>
      </c>
      <c r="W24" s="30" t="b">
        <f t="shared" si="11"/>
        <v>1</v>
      </c>
    </row>
    <row r="25" spans="1:23" ht="15" customHeight="1" x14ac:dyDescent="0.2">
      <c r="A25" s="161">
        <v>13</v>
      </c>
      <c r="B25" s="162">
        <v>14.1</v>
      </c>
      <c r="C25" s="162">
        <v>25</v>
      </c>
      <c r="D25" s="162">
        <f t="shared" si="0"/>
        <v>25</v>
      </c>
      <c r="E25" s="162">
        <v>5</v>
      </c>
      <c r="F25" s="162">
        <v>60</v>
      </c>
      <c r="G25" s="162">
        <f t="shared" si="1"/>
        <v>55</v>
      </c>
      <c r="H25" s="42">
        <f t="shared" si="2"/>
        <v>3.6617875338777388</v>
      </c>
      <c r="I25" s="42">
        <f t="shared" si="12"/>
        <v>0.79009757709142203</v>
      </c>
      <c r="J25" s="56">
        <f t="shared" si="3"/>
        <v>9.0130793052515941</v>
      </c>
      <c r="K25" s="56">
        <f t="shared" si="13"/>
        <v>4.2013888888888893</v>
      </c>
      <c r="L25" s="56">
        <f t="shared" si="14"/>
        <v>9.0130793052515941</v>
      </c>
      <c r="M25" s="57">
        <f t="shared" si="4"/>
        <v>5</v>
      </c>
      <c r="N25" s="76" t="s">
        <v>5</v>
      </c>
      <c r="O25" s="167">
        <v>16</v>
      </c>
      <c r="P25" s="78" t="str">
        <f t="shared" si="5"/>
        <v>safe</v>
      </c>
      <c r="Q25" s="30">
        <v>0.82599999999999996</v>
      </c>
      <c r="R25" s="39">
        <f t="shared" si="6"/>
        <v>0.79009757709142203</v>
      </c>
      <c r="S25" s="30">
        <f t="shared" si="7"/>
        <v>4.2013888888888893</v>
      </c>
      <c r="T25" s="30">
        <f t="shared" si="8"/>
        <v>11.98739547598462</v>
      </c>
      <c r="U25" s="30">
        <f t="shared" si="9"/>
        <v>4.2013888888888893</v>
      </c>
      <c r="V25" s="30">
        <f t="shared" si="10"/>
        <v>2.0625</v>
      </c>
      <c r="W25" s="30" t="b">
        <f t="shared" si="11"/>
        <v>1</v>
      </c>
    </row>
    <row r="26" spans="1:23" ht="15" customHeight="1" x14ac:dyDescent="0.2">
      <c r="A26" s="161">
        <v>14</v>
      </c>
      <c r="B26" s="162">
        <v>3</v>
      </c>
      <c r="C26" s="162">
        <v>25</v>
      </c>
      <c r="D26" s="162">
        <f t="shared" si="0"/>
        <v>25</v>
      </c>
      <c r="E26" s="162">
        <v>5</v>
      </c>
      <c r="F26" s="162">
        <v>60</v>
      </c>
      <c r="G26" s="162">
        <f t="shared" si="1"/>
        <v>55</v>
      </c>
      <c r="H26" s="42">
        <f t="shared" si="2"/>
        <v>7.9385662013573555</v>
      </c>
      <c r="I26" s="42">
        <f t="shared" si="12"/>
        <v>0.82599999999999996</v>
      </c>
      <c r="J26" s="56">
        <f t="shared" si="3"/>
        <v>1.8343238682221732</v>
      </c>
      <c r="K26" s="56">
        <f t="shared" si="13"/>
        <v>2.4396507447354905</v>
      </c>
      <c r="L26" s="56">
        <f t="shared" si="14"/>
        <v>2.4396507447354905</v>
      </c>
      <c r="M26" s="57">
        <f t="shared" si="4"/>
        <v>2</v>
      </c>
      <c r="N26" s="76" t="s">
        <v>5</v>
      </c>
      <c r="O26" s="167">
        <v>16</v>
      </c>
      <c r="P26" s="78" t="str">
        <f t="shared" si="5"/>
        <v>safe</v>
      </c>
      <c r="Q26" s="30">
        <v>0.82599999999999996</v>
      </c>
      <c r="R26" s="39">
        <f t="shared" si="6"/>
        <v>0.85427667939476137</v>
      </c>
      <c r="S26" s="30">
        <f t="shared" si="7"/>
        <v>4.2013888888888893</v>
      </c>
      <c r="T26" s="30">
        <f t="shared" si="8"/>
        <v>2.4396507447354905</v>
      </c>
      <c r="U26" s="30">
        <f t="shared" si="9"/>
        <v>2.4396507447354905</v>
      </c>
      <c r="V26" s="30">
        <f t="shared" si="10"/>
        <v>2.0625</v>
      </c>
      <c r="W26" s="30" t="b">
        <f t="shared" si="11"/>
        <v>1</v>
      </c>
    </row>
    <row r="27" spans="1:23" ht="15" customHeight="1" x14ac:dyDescent="0.2">
      <c r="A27" s="161">
        <v>15</v>
      </c>
      <c r="B27" s="162">
        <v>10.58</v>
      </c>
      <c r="C27" s="162">
        <v>25</v>
      </c>
      <c r="D27" s="162">
        <f t="shared" si="0"/>
        <v>25</v>
      </c>
      <c r="E27" s="162">
        <v>5</v>
      </c>
      <c r="F27" s="162">
        <v>60</v>
      </c>
      <c r="G27" s="162">
        <f t="shared" si="1"/>
        <v>55</v>
      </c>
      <c r="H27" s="42">
        <f t="shared" si="2"/>
        <v>4.2272688005717516</v>
      </c>
      <c r="I27" s="42">
        <f t="shared" si="12"/>
        <v>0.81163587211694166</v>
      </c>
      <c r="J27" s="56">
        <f t="shared" si="3"/>
        <v>6.5835364441167217</v>
      </c>
      <c r="K27" s="56">
        <f t="shared" si="13"/>
        <v>4.2013888888888893</v>
      </c>
      <c r="L27" s="56">
        <f t="shared" si="14"/>
        <v>6.5835364441167217</v>
      </c>
      <c r="M27" s="57">
        <f t="shared" si="4"/>
        <v>4</v>
      </c>
      <c r="N27" s="76" t="s">
        <v>5</v>
      </c>
      <c r="O27" s="167">
        <v>16</v>
      </c>
      <c r="P27" s="78" t="str">
        <f t="shared" si="5"/>
        <v>safe</v>
      </c>
      <c r="Q27" s="30">
        <v>0.82599999999999996</v>
      </c>
      <c r="R27" s="39">
        <f t="shared" si="6"/>
        <v>0.81163587211694166</v>
      </c>
      <c r="S27" s="30">
        <f t="shared" si="7"/>
        <v>4.2013888888888893</v>
      </c>
      <c r="T27" s="30">
        <f t="shared" si="8"/>
        <v>8.7561034706752405</v>
      </c>
      <c r="U27" s="30">
        <f t="shared" si="9"/>
        <v>4.2013888888888893</v>
      </c>
      <c r="V27" s="30">
        <f t="shared" si="10"/>
        <v>2.0625</v>
      </c>
      <c r="W27" s="30" t="b">
        <f t="shared" si="11"/>
        <v>1</v>
      </c>
    </row>
    <row r="28" spans="1:23" ht="15" customHeight="1" x14ac:dyDescent="0.2">
      <c r="A28" s="161">
        <v>16</v>
      </c>
      <c r="B28" s="162">
        <v>8.83</v>
      </c>
      <c r="C28" s="162">
        <v>25</v>
      </c>
      <c r="D28" s="162">
        <f t="shared" si="0"/>
        <v>25</v>
      </c>
      <c r="E28" s="162">
        <v>5</v>
      </c>
      <c r="F28" s="162">
        <v>60</v>
      </c>
      <c r="G28" s="162">
        <f t="shared" si="1"/>
        <v>55</v>
      </c>
      <c r="H28" s="42">
        <f t="shared" si="2"/>
        <v>4.6272434184354436</v>
      </c>
      <c r="I28" s="42">
        <f t="shared" si="12"/>
        <v>0.82189785740698496</v>
      </c>
      <c r="J28" s="56">
        <f t="shared" si="3"/>
        <v>5.4259734581442887</v>
      </c>
      <c r="K28" s="56">
        <f t="shared" si="13"/>
        <v>4.2013888888888893</v>
      </c>
      <c r="L28" s="56">
        <f t="shared" si="14"/>
        <v>5.4259734581442887</v>
      </c>
      <c r="M28" s="57">
        <f t="shared" si="4"/>
        <v>3</v>
      </c>
      <c r="N28" s="76" t="s">
        <v>5</v>
      </c>
      <c r="O28" s="167">
        <v>16</v>
      </c>
      <c r="P28" s="78" t="str">
        <f t="shared" si="5"/>
        <v>safe</v>
      </c>
      <c r="Q28" s="30">
        <v>0.82599999999999996</v>
      </c>
      <c r="R28" s="39">
        <f t="shared" si="6"/>
        <v>0.82189785740698496</v>
      </c>
      <c r="S28" s="30">
        <f t="shared" si="7"/>
        <v>4.2013888888888893</v>
      </c>
      <c r="T28" s="30">
        <f t="shared" si="8"/>
        <v>7.2165446993319042</v>
      </c>
      <c r="U28" s="30">
        <f t="shared" si="9"/>
        <v>4.2013888888888893</v>
      </c>
      <c r="V28" s="30">
        <f t="shared" si="10"/>
        <v>2.0625</v>
      </c>
      <c r="W28" s="30" t="b">
        <f t="shared" si="11"/>
        <v>1</v>
      </c>
    </row>
    <row r="29" spans="1:23" ht="15" customHeight="1" x14ac:dyDescent="0.2">
      <c r="A29" s="161">
        <v>17</v>
      </c>
      <c r="B29" s="162">
        <v>10.58</v>
      </c>
      <c r="C29" s="162">
        <v>25</v>
      </c>
      <c r="D29" s="162">
        <f t="shared" si="0"/>
        <v>25</v>
      </c>
      <c r="E29" s="162">
        <v>5</v>
      </c>
      <c r="F29" s="162">
        <v>60</v>
      </c>
      <c r="G29" s="162">
        <f t="shared" si="1"/>
        <v>55</v>
      </c>
      <c r="H29" s="42">
        <f t="shared" si="2"/>
        <v>4.2272688005717516</v>
      </c>
      <c r="I29" s="42">
        <f t="shared" si="12"/>
        <v>0.81163587211694166</v>
      </c>
      <c r="J29" s="56">
        <f t="shared" si="3"/>
        <v>6.5835364441167217</v>
      </c>
      <c r="K29" s="56">
        <f t="shared" si="13"/>
        <v>4.2013888888888893</v>
      </c>
      <c r="L29" s="56">
        <f t="shared" si="14"/>
        <v>6.5835364441167217</v>
      </c>
      <c r="M29" s="57">
        <f t="shared" si="4"/>
        <v>4</v>
      </c>
      <c r="N29" s="76" t="s">
        <v>5</v>
      </c>
      <c r="O29" s="167">
        <v>16</v>
      </c>
      <c r="P29" s="78" t="str">
        <f t="shared" si="5"/>
        <v>safe</v>
      </c>
      <c r="Q29" s="30">
        <v>0.82599999999999996</v>
      </c>
      <c r="R29" s="39">
        <f t="shared" si="6"/>
        <v>0.81163587211694166</v>
      </c>
      <c r="S29" s="30">
        <f t="shared" si="7"/>
        <v>4.2013888888888893</v>
      </c>
      <c r="T29" s="30">
        <f t="shared" si="8"/>
        <v>8.7561034706752405</v>
      </c>
      <c r="U29" s="30">
        <f t="shared" si="9"/>
        <v>4.2013888888888893</v>
      </c>
      <c r="V29" s="30">
        <f t="shared" si="10"/>
        <v>2.0625</v>
      </c>
      <c r="W29" s="30" t="b">
        <f t="shared" si="11"/>
        <v>1</v>
      </c>
    </row>
    <row r="30" spans="1:23" ht="15" customHeight="1" x14ac:dyDescent="0.2">
      <c r="A30" s="161">
        <v>18</v>
      </c>
      <c r="B30" s="162">
        <v>15.01</v>
      </c>
      <c r="C30" s="162">
        <v>25</v>
      </c>
      <c r="D30" s="162">
        <f t="shared" si="0"/>
        <v>25</v>
      </c>
      <c r="E30" s="162">
        <v>5</v>
      </c>
      <c r="F30" s="162">
        <v>60</v>
      </c>
      <c r="G30" s="162">
        <f t="shared" si="1"/>
        <v>55</v>
      </c>
      <c r="H30" s="42">
        <f t="shared" si="2"/>
        <v>3.549051913822713</v>
      </c>
      <c r="I30" s="42">
        <f t="shared" si="12"/>
        <v>0.78431346362224375</v>
      </c>
      <c r="J30" s="56">
        <f t="shared" si="3"/>
        <v>9.665533530174482</v>
      </c>
      <c r="K30" s="56">
        <f t="shared" si="13"/>
        <v>4.2013888888888893</v>
      </c>
      <c r="L30" s="56">
        <f t="shared" si="14"/>
        <v>9.665533530174482</v>
      </c>
      <c r="M30" s="57">
        <f t="shared" si="4"/>
        <v>5</v>
      </c>
      <c r="N30" s="76" t="s">
        <v>5</v>
      </c>
      <c r="O30" s="167">
        <v>16</v>
      </c>
      <c r="P30" s="78" t="str">
        <f t="shared" si="5"/>
        <v>safe</v>
      </c>
      <c r="Q30" s="30">
        <v>0.82599999999999996</v>
      </c>
      <c r="R30" s="39">
        <f t="shared" si="6"/>
        <v>0.78431346362224375</v>
      </c>
      <c r="S30" s="30">
        <f t="shared" si="7"/>
        <v>4.2013888888888893</v>
      </c>
      <c r="T30" s="30">
        <f t="shared" si="8"/>
        <v>12.855159595132061</v>
      </c>
      <c r="U30" s="30">
        <f t="shared" si="9"/>
        <v>4.2013888888888893</v>
      </c>
      <c r="V30" s="30">
        <f t="shared" si="10"/>
        <v>2.0625</v>
      </c>
      <c r="W30" s="30" t="b">
        <f t="shared" si="11"/>
        <v>1</v>
      </c>
    </row>
    <row r="31" spans="1:23" ht="15" customHeight="1" x14ac:dyDescent="0.2">
      <c r="A31" s="161">
        <v>19</v>
      </c>
      <c r="B31" s="162">
        <v>10.84</v>
      </c>
      <c r="C31" s="162">
        <v>25</v>
      </c>
      <c r="D31" s="162">
        <f t="shared" si="0"/>
        <v>25</v>
      </c>
      <c r="E31" s="162">
        <v>5</v>
      </c>
      <c r="F31" s="162">
        <v>60</v>
      </c>
      <c r="G31" s="162">
        <f t="shared" si="1"/>
        <v>55</v>
      </c>
      <c r="H31" s="42">
        <f t="shared" si="2"/>
        <v>4.1762650822116605</v>
      </c>
      <c r="I31" s="42">
        <f t="shared" si="12"/>
        <v>0.81008728020101539</v>
      </c>
      <c r="J31" s="56">
        <f t="shared" si="3"/>
        <v>6.7582192790250559</v>
      </c>
      <c r="K31" s="56">
        <f t="shared" si="13"/>
        <v>4.2013888888888893</v>
      </c>
      <c r="L31" s="56">
        <f t="shared" si="14"/>
        <v>6.7582192790250559</v>
      </c>
      <c r="M31" s="57">
        <f t="shared" si="4"/>
        <v>4</v>
      </c>
      <c r="N31" s="76" t="s">
        <v>5</v>
      </c>
      <c r="O31" s="167">
        <v>16</v>
      </c>
      <c r="P31" s="78" t="str">
        <f t="shared" si="5"/>
        <v>safe</v>
      </c>
      <c r="Q31" s="30">
        <v>0.82599999999999996</v>
      </c>
      <c r="R31" s="39">
        <f t="shared" si="6"/>
        <v>0.81008728020101539</v>
      </c>
      <c r="S31" s="30">
        <f t="shared" si="7"/>
        <v>4.2013888888888893</v>
      </c>
      <c r="T31" s="30">
        <f t="shared" si="8"/>
        <v>8.9884316411033254</v>
      </c>
      <c r="U31" s="30">
        <f t="shared" si="9"/>
        <v>4.2013888888888893</v>
      </c>
      <c r="V31" s="30">
        <f t="shared" si="10"/>
        <v>2.0625</v>
      </c>
      <c r="W31" s="30" t="b">
        <f t="shared" si="11"/>
        <v>1</v>
      </c>
    </row>
    <row r="32" spans="1:23" ht="15" customHeight="1" x14ac:dyDescent="0.2">
      <c r="A32" s="161">
        <v>20</v>
      </c>
      <c r="B32" s="162">
        <v>4</v>
      </c>
      <c r="C32" s="162">
        <v>25</v>
      </c>
      <c r="D32" s="162">
        <f t="shared" si="0"/>
        <v>25</v>
      </c>
      <c r="E32" s="162">
        <v>5</v>
      </c>
      <c r="F32" s="162">
        <v>60</v>
      </c>
      <c r="G32" s="162">
        <f t="shared" si="1"/>
        <v>55</v>
      </c>
      <c r="H32" s="42">
        <f t="shared" si="2"/>
        <v>6.875</v>
      </c>
      <c r="I32" s="42">
        <f t="shared" si="12"/>
        <v>0.82599999999999996</v>
      </c>
      <c r="J32" s="56">
        <f t="shared" si="3"/>
        <v>2.4457651576295647</v>
      </c>
      <c r="K32" s="56">
        <f t="shared" si="13"/>
        <v>3.2528676596473214</v>
      </c>
      <c r="L32" s="56">
        <f t="shared" si="14"/>
        <v>3.2528676596473214</v>
      </c>
      <c r="M32" s="57">
        <f t="shared" si="4"/>
        <v>2</v>
      </c>
      <c r="N32" s="76" t="s">
        <v>5</v>
      </c>
      <c r="O32" s="167">
        <v>16</v>
      </c>
      <c r="P32" s="78" t="str">
        <f t="shared" si="5"/>
        <v>safe</v>
      </c>
      <c r="Q32" s="30">
        <v>0.82599999999999996</v>
      </c>
      <c r="R32" s="39">
        <f t="shared" si="6"/>
        <v>0.84890286120344305</v>
      </c>
      <c r="S32" s="30">
        <f t="shared" si="7"/>
        <v>4.2013888888888893</v>
      </c>
      <c r="T32" s="30">
        <f t="shared" si="8"/>
        <v>3.2528676596473214</v>
      </c>
      <c r="U32" s="30">
        <f t="shared" si="9"/>
        <v>3.2528676596473214</v>
      </c>
      <c r="V32" s="30">
        <f t="shared" si="10"/>
        <v>2.0625</v>
      </c>
      <c r="W32" s="30" t="b">
        <f t="shared" si="11"/>
        <v>1</v>
      </c>
    </row>
    <row r="33" spans="1:23" ht="15" customHeight="1" x14ac:dyDescent="0.2">
      <c r="A33" s="161">
        <v>21</v>
      </c>
      <c r="B33" s="162">
        <v>24.68</v>
      </c>
      <c r="C33" s="162">
        <v>25</v>
      </c>
      <c r="D33" s="162">
        <f t="shared" si="0"/>
        <v>25</v>
      </c>
      <c r="E33" s="162">
        <v>5</v>
      </c>
      <c r="F33" s="162">
        <v>60</v>
      </c>
      <c r="G33" s="162">
        <f t="shared" si="1"/>
        <v>55</v>
      </c>
      <c r="H33" s="42">
        <f t="shared" si="2"/>
        <v>2.7677707826603815</v>
      </c>
      <c r="I33" s="42">
        <f t="shared" si="12"/>
        <v>0.71557774220612647</v>
      </c>
      <c r="J33" s="56">
        <f t="shared" si="3"/>
        <v>17.418996888050142</v>
      </c>
      <c r="K33" s="56">
        <f t="shared" si="13"/>
        <v>4.2013888888888893</v>
      </c>
      <c r="L33" s="56">
        <f t="shared" si="14"/>
        <v>17.418996888050142</v>
      </c>
      <c r="M33" s="57">
        <f t="shared" si="4"/>
        <v>9</v>
      </c>
      <c r="N33" s="76" t="s">
        <v>5</v>
      </c>
      <c r="O33" s="167">
        <v>16</v>
      </c>
      <c r="P33" s="78" t="str">
        <f t="shared" si="5"/>
        <v>unsafe</v>
      </c>
      <c r="Q33" s="30">
        <v>0.82599999999999996</v>
      </c>
      <c r="R33" s="39">
        <f t="shared" si="6"/>
        <v>0.71557774220612647</v>
      </c>
      <c r="S33" s="30">
        <f t="shared" si="7"/>
        <v>4.2013888888888893</v>
      </c>
      <c r="T33" s="30">
        <f t="shared" si="8"/>
        <v>23.167265861106689</v>
      </c>
      <c r="U33" s="30">
        <f t="shared" si="9"/>
        <v>4.2013888888888893</v>
      </c>
      <c r="V33" s="30">
        <f t="shared" si="10"/>
        <v>2.0625</v>
      </c>
      <c r="W33" s="30" t="b">
        <f t="shared" si="11"/>
        <v>0</v>
      </c>
    </row>
    <row r="34" spans="1:23" ht="15" customHeight="1" x14ac:dyDescent="0.2">
      <c r="A34" s="161">
        <v>22</v>
      </c>
      <c r="B34" s="162">
        <v>26.88</v>
      </c>
      <c r="C34" s="162">
        <v>25</v>
      </c>
      <c r="D34" s="162">
        <f t="shared" si="0"/>
        <v>25</v>
      </c>
      <c r="E34" s="162">
        <v>5</v>
      </c>
      <c r="F34" s="162">
        <v>60</v>
      </c>
      <c r="G34" s="162">
        <f t="shared" si="1"/>
        <v>55</v>
      </c>
      <c r="H34" s="42">
        <f t="shared" si="2"/>
        <v>2.6520888274734546</v>
      </c>
      <c r="I34" s="42">
        <f t="shared" si="12"/>
        <v>0.69743796905803435</v>
      </c>
      <c r="J34" s="56">
        <f t="shared" si="3"/>
        <v>19.465182823489105</v>
      </c>
      <c r="K34" s="56">
        <f t="shared" si="13"/>
        <v>4.2013888888888893</v>
      </c>
      <c r="L34" s="56">
        <f t="shared" si="14"/>
        <v>19.465182823489105</v>
      </c>
      <c r="M34" s="57">
        <f t="shared" si="4"/>
        <v>10</v>
      </c>
      <c r="N34" s="76" t="s">
        <v>5</v>
      </c>
      <c r="O34" s="167">
        <v>16</v>
      </c>
      <c r="P34" s="78" t="str">
        <f t="shared" si="5"/>
        <v>unsafe</v>
      </c>
      <c r="Q34" s="30">
        <v>0.82599999999999996</v>
      </c>
      <c r="R34" s="39">
        <f t="shared" si="6"/>
        <v>0.69743796905803435</v>
      </c>
      <c r="S34" s="30">
        <f t="shared" si="7"/>
        <v>4.2013888888888893</v>
      </c>
      <c r="T34" s="30">
        <f t="shared" si="8"/>
        <v>25.88869315524051</v>
      </c>
      <c r="U34" s="30">
        <f t="shared" si="9"/>
        <v>4.2013888888888893</v>
      </c>
      <c r="V34" s="30">
        <f t="shared" si="10"/>
        <v>2.0625</v>
      </c>
      <c r="W34" s="30" t="b">
        <f t="shared" si="11"/>
        <v>0</v>
      </c>
    </row>
    <row r="35" spans="1:23" ht="15" customHeight="1" x14ac:dyDescent="0.2">
      <c r="A35" s="161">
        <v>23</v>
      </c>
      <c r="B35" s="162">
        <v>12</v>
      </c>
      <c r="C35" s="162">
        <v>25</v>
      </c>
      <c r="D35" s="162">
        <f t="shared" si="0"/>
        <v>25</v>
      </c>
      <c r="E35" s="162">
        <v>5</v>
      </c>
      <c r="F35" s="162">
        <v>60</v>
      </c>
      <c r="G35" s="162">
        <f t="shared" si="1"/>
        <v>55</v>
      </c>
      <c r="H35" s="42">
        <f t="shared" si="2"/>
        <v>3.9692831006786777</v>
      </c>
      <c r="I35" s="42">
        <f t="shared" si="12"/>
        <v>0.80309881219203916</v>
      </c>
      <c r="J35" s="56">
        <f t="shared" si="3"/>
        <v>7.5465259923169103</v>
      </c>
      <c r="K35" s="56">
        <f t="shared" si="13"/>
        <v>4.2013888888888893</v>
      </c>
      <c r="L35" s="56">
        <f t="shared" si="14"/>
        <v>7.5465259923169103</v>
      </c>
      <c r="M35" s="57">
        <f t="shared" si="4"/>
        <v>4</v>
      </c>
      <c r="N35" s="76" t="s">
        <v>5</v>
      </c>
      <c r="O35" s="167">
        <v>16</v>
      </c>
      <c r="P35" s="78" t="str">
        <f t="shared" si="5"/>
        <v>safe</v>
      </c>
      <c r="Q35" s="30">
        <v>0.82599999999999996</v>
      </c>
      <c r="R35" s="39">
        <f t="shared" si="6"/>
        <v>0.80309881219203916</v>
      </c>
      <c r="S35" s="30">
        <f t="shared" si="7"/>
        <v>4.2013888888888893</v>
      </c>
      <c r="T35" s="30">
        <f t="shared" si="8"/>
        <v>10.036879569781492</v>
      </c>
      <c r="U35" s="30">
        <f t="shared" si="9"/>
        <v>4.2013888888888893</v>
      </c>
      <c r="V35" s="30">
        <f t="shared" si="10"/>
        <v>2.0625</v>
      </c>
      <c r="W35" s="30" t="b">
        <f t="shared" si="11"/>
        <v>1</v>
      </c>
    </row>
    <row r="36" spans="1:23" ht="15" customHeight="1" x14ac:dyDescent="0.2">
      <c r="A36" s="161">
        <v>24</v>
      </c>
      <c r="B36" s="162">
        <v>15</v>
      </c>
      <c r="C36" s="162">
        <v>25</v>
      </c>
      <c r="D36" s="162">
        <f t="shared" si="0"/>
        <v>25</v>
      </c>
      <c r="E36" s="162">
        <v>5</v>
      </c>
      <c r="F36" s="162">
        <v>60</v>
      </c>
      <c r="G36" s="162">
        <f t="shared" si="1"/>
        <v>55</v>
      </c>
      <c r="H36" s="42">
        <f t="shared" si="2"/>
        <v>3.5502347340234652</v>
      </c>
      <c r="I36" s="42">
        <f t="shared" si="12"/>
        <v>0.78437754567442886</v>
      </c>
      <c r="J36" s="56">
        <f t="shared" si="3"/>
        <v>9.6583050057147375</v>
      </c>
      <c r="K36" s="56">
        <f t="shared" si="13"/>
        <v>4.2013888888888893</v>
      </c>
      <c r="L36" s="56">
        <f t="shared" si="14"/>
        <v>9.6583050057147375</v>
      </c>
      <c r="M36" s="57">
        <f t="shared" si="4"/>
        <v>5</v>
      </c>
      <c r="N36" s="76" t="s">
        <v>5</v>
      </c>
      <c r="O36" s="167">
        <v>16</v>
      </c>
      <c r="P36" s="78" t="str">
        <f t="shared" si="5"/>
        <v>safe</v>
      </c>
      <c r="Q36" s="30">
        <v>0.82599999999999996</v>
      </c>
      <c r="R36" s="39">
        <f t="shared" si="6"/>
        <v>0.78437754567442886</v>
      </c>
      <c r="S36" s="30">
        <f t="shared" si="7"/>
        <v>4.2013888888888893</v>
      </c>
      <c r="T36" s="30">
        <f t="shared" si="8"/>
        <v>12.845545657600601</v>
      </c>
      <c r="U36" s="30">
        <f t="shared" si="9"/>
        <v>4.2013888888888893</v>
      </c>
      <c r="V36" s="30">
        <f t="shared" si="10"/>
        <v>2.0625</v>
      </c>
      <c r="W36" s="30" t="b">
        <f t="shared" si="11"/>
        <v>1</v>
      </c>
    </row>
    <row r="37" spans="1:23" ht="15" customHeight="1" x14ac:dyDescent="0.2">
      <c r="A37" s="161">
        <v>25</v>
      </c>
      <c r="B37" s="162">
        <v>15</v>
      </c>
      <c r="C37" s="162">
        <v>25</v>
      </c>
      <c r="D37" s="162">
        <f t="shared" si="0"/>
        <v>25</v>
      </c>
      <c r="E37" s="162">
        <v>5</v>
      </c>
      <c r="F37" s="162">
        <v>60</v>
      </c>
      <c r="G37" s="162">
        <f t="shared" si="1"/>
        <v>55</v>
      </c>
      <c r="H37" s="42">
        <f t="shared" si="2"/>
        <v>3.5502347340234652</v>
      </c>
      <c r="I37" s="42">
        <f t="shared" si="12"/>
        <v>0.78437754567442886</v>
      </c>
      <c r="J37" s="56">
        <f t="shared" si="3"/>
        <v>9.6583050057147375</v>
      </c>
      <c r="K37" s="56">
        <f t="shared" si="13"/>
        <v>4.2013888888888893</v>
      </c>
      <c r="L37" s="56">
        <f t="shared" si="14"/>
        <v>9.6583050057147375</v>
      </c>
      <c r="M37" s="57">
        <f t="shared" si="4"/>
        <v>5</v>
      </c>
      <c r="N37" s="76" t="s">
        <v>5</v>
      </c>
      <c r="O37" s="167">
        <v>16</v>
      </c>
      <c r="P37" s="78" t="str">
        <f t="shared" si="5"/>
        <v>safe</v>
      </c>
      <c r="Q37" s="30">
        <v>0.82599999999999996</v>
      </c>
      <c r="R37" s="39">
        <f t="shared" si="6"/>
        <v>0.78437754567442886</v>
      </c>
      <c r="S37" s="30">
        <f t="shared" si="7"/>
        <v>4.2013888888888893</v>
      </c>
      <c r="T37" s="30">
        <f t="shared" si="8"/>
        <v>12.845545657600601</v>
      </c>
      <c r="U37" s="30">
        <f t="shared" si="9"/>
        <v>4.2013888888888893</v>
      </c>
      <c r="V37" s="30">
        <f t="shared" si="10"/>
        <v>2.0625</v>
      </c>
      <c r="W37" s="30" t="b">
        <f t="shared" si="11"/>
        <v>1</v>
      </c>
    </row>
    <row r="38" spans="1:23" ht="15" customHeight="1" x14ac:dyDescent="0.2">
      <c r="A38" s="161">
        <v>26</v>
      </c>
      <c r="B38" s="162">
        <v>15</v>
      </c>
      <c r="C38" s="162">
        <v>25</v>
      </c>
      <c r="D38" s="162">
        <f t="shared" si="0"/>
        <v>25</v>
      </c>
      <c r="E38" s="162">
        <v>5</v>
      </c>
      <c r="F38" s="162">
        <v>60</v>
      </c>
      <c r="G38" s="162">
        <f t="shared" si="1"/>
        <v>55</v>
      </c>
      <c r="H38" s="42">
        <f t="shared" si="2"/>
        <v>3.5502347340234652</v>
      </c>
      <c r="I38" s="42">
        <f t="shared" si="12"/>
        <v>0.78437754567442886</v>
      </c>
      <c r="J38" s="56">
        <f t="shared" si="3"/>
        <v>9.6583050057147375</v>
      </c>
      <c r="K38" s="56">
        <f t="shared" si="13"/>
        <v>4.2013888888888893</v>
      </c>
      <c r="L38" s="56">
        <f t="shared" si="14"/>
        <v>9.6583050057147375</v>
      </c>
      <c r="M38" s="57">
        <f t="shared" si="4"/>
        <v>5</v>
      </c>
      <c r="N38" s="76" t="s">
        <v>5</v>
      </c>
      <c r="O38" s="167">
        <v>16</v>
      </c>
      <c r="P38" s="78" t="str">
        <f t="shared" si="5"/>
        <v>safe</v>
      </c>
      <c r="Q38" s="30">
        <v>0.82599999999999996</v>
      </c>
      <c r="R38" s="39">
        <f t="shared" si="6"/>
        <v>0.78437754567442886</v>
      </c>
      <c r="S38" s="30">
        <f t="shared" si="7"/>
        <v>4.2013888888888893</v>
      </c>
      <c r="T38" s="30">
        <f t="shared" si="8"/>
        <v>12.845545657600601</v>
      </c>
      <c r="U38" s="30">
        <f t="shared" si="9"/>
        <v>4.2013888888888893</v>
      </c>
      <c r="V38" s="30">
        <f t="shared" si="10"/>
        <v>2.0625</v>
      </c>
      <c r="W38" s="30" t="b">
        <f t="shared" si="11"/>
        <v>1</v>
      </c>
    </row>
    <row r="39" spans="1:23" ht="15" customHeight="1" x14ac:dyDescent="0.2">
      <c r="A39" s="161">
        <v>27</v>
      </c>
      <c r="B39" s="162">
        <v>15</v>
      </c>
      <c r="C39" s="162">
        <v>25</v>
      </c>
      <c r="D39" s="162">
        <f t="shared" si="0"/>
        <v>25</v>
      </c>
      <c r="E39" s="162">
        <v>5</v>
      </c>
      <c r="F39" s="162">
        <v>60</v>
      </c>
      <c r="G39" s="162">
        <f t="shared" si="1"/>
        <v>55</v>
      </c>
      <c r="H39" s="42">
        <f t="shared" si="2"/>
        <v>3.5502347340234652</v>
      </c>
      <c r="I39" s="42">
        <f t="shared" si="12"/>
        <v>0.78437754567442886</v>
      </c>
      <c r="J39" s="56">
        <f t="shared" si="3"/>
        <v>9.6583050057147375</v>
      </c>
      <c r="K39" s="56">
        <f t="shared" si="13"/>
        <v>4.2013888888888893</v>
      </c>
      <c r="L39" s="56">
        <f t="shared" si="14"/>
        <v>9.6583050057147375</v>
      </c>
      <c r="M39" s="57">
        <f t="shared" si="4"/>
        <v>5</v>
      </c>
      <c r="N39" s="76" t="s">
        <v>5</v>
      </c>
      <c r="O39" s="167">
        <v>16</v>
      </c>
      <c r="P39" s="78" t="str">
        <f t="shared" si="5"/>
        <v>safe</v>
      </c>
      <c r="Q39" s="30">
        <v>0.82599999999999996</v>
      </c>
      <c r="R39" s="39">
        <f t="shared" si="6"/>
        <v>0.78437754567442886</v>
      </c>
      <c r="S39" s="30">
        <f t="shared" si="7"/>
        <v>4.2013888888888893</v>
      </c>
      <c r="T39" s="30">
        <f t="shared" si="8"/>
        <v>12.845545657600601</v>
      </c>
      <c r="U39" s="30">
        <f t="shared" si="9"/>
        <v>4.2013888888888893</v>
      </c>
      <c r="V39" s="30">
        <f t="shared" si="10"/>
        <v>2.0625</v>
      </c>
      <c r="W39" s="30" t="b">
        <f t="shared" si="11"/>
        <v>1</v>
      </c>
    </row>
    <row r="40" spans="1:23" ht="15" customHeight="1" x14ac:dyDescent="0.2">
      <c r="A40" s="161">
        <v>28</v>
      </c>
      <c r="B40" s="162">
        <v>15</v>
      </c>
      <c r="C40" s="162">
        <v>25</v>
      </c>
      <c r="D40" s="162">
        <f t="shared" si="0"/>
        <v>25</v>
      </c>
      <c r="E40" s="162">
        <v>5</v>
      </c>
      <c r="F40" s="162">
        <v>60</v>
      </c>
      <c r="G40" s="162">
        <f t="shared" si="1"/>
        <v>55</v>
      </c>
      <c r="H40" s="42">
        <f t="shared" si="2"/>
        <v>3.5502347340234652</v>
      </c>
      <c r="I40" s="42">
        <f t="shared" si="12"/>
        <v>0.78437754567442886</v>
      </c>
      <c r="J40" s="56">
        <f t="shared" si="3"/>
        <v>9.6583050057147375</v>
      </c>
      <c r="K40" s="56">
        <f t="shared" si="13"/>
        <v>4.2013888888888893</v>
      </c>
      <c r="L40" s="56">
        <f t="shared" si="14"/>
        <v>9.6583050057147375</v>
      </c>
      <c r="M40" s="57">
        <f t="shared" si="4"/>
        <v>5</v>
      </c>
      <c r="N40" s="76" t="s">
        <v>5</v>
      </c>
      <c r="O40" s="167">
        <v>16</v>
      </c>
      <c r="P40" s="78" t="str">
        <f t="shared" si="5"/>
        <v>safe</v>
      </c>
      <c r="Q40" s="30">
        <v>0.82599999999999996</v>
      </c>
      <c r="R40" s="39">
        <f t="shared" si="6"/>
        <v>0.78437754567442886</v>
      </c>
      <c r="S40" s="30">
        <f t="shared" si="7"/>
        <v>4.2013888888888893</v>
      </c>
      <c r="T40" s="30">
        <f t="shared" si="8"/>
        <v>12.845545657600601</v>
      </c>
      <c r="U40" s="30">
        <f t="shared" si="9"/>
        <v>4.2013888888888893</v>
      </c>
      <c r="V40" s="30">
        <f t="shared" si="10"/>
        <v>2.0625</v>
      </c>
      <c r="W40" s="30" t="b">
        <f t="shared" si="11"/>
        <v>1</v>
      </c>
    </row>
    <row r="41" spans="1:23" ht="15" customHeight="1" x14ac:dyDescent="0.2">
      <c r="A41" s="161">
        <v>29</v>
      </c>
      <c r="B41" s="162">
        <v>15</v>
      </c>
      <c r="C41" s="162">
        <v>25</v>
      </c>
      <c r="D41" s="162">
        <f t="shared" si="0"/>
        <v>25</v>
      </c>
      <c r="E41" s="162">
        <v>5</v>
      </c>
      <c r="F41" s="162">
        <v>60</v>
      </c>
      <c r="G41" s="162">
        <f t="shared" si="1"/>
        <v>55</v>
      </c>
      <c r="H41" s="42">
        <f t="shared" si="2"/>
        <v>3.5502347340234652</v>
      </c>
      <c r="I41" s="42">
        <f t="shared" si="12"/>
        <v>0.78437754567442886</v>
      </c>
      <c r="J41" s="56">
        <f t="shared" si="3"/>
        <v>9.6583050057147375</v>
      </c>
      <c r="K41" s="56">
        <f t="shared" si="13"/>
        <v>4.2013888888888893</v>
      </c>
      <c r="L41" s="56">
        <f t="shared" si="14"/>
        <v>9.6583050057147375</v>
      </c>
      <c r="M41" s="57">
        <f t="shared" si="4"/>
        <v>5</v>
      </c>
      <c r="N41" s="76" t="s">
        <v>5</v>
      </c>
      <c r="O41" s="167">
        <v>16</v>
      </c>
      <c r="P41" s="78" t="str">
        <f t="shared" si="5"/>
        <v>safe</v>
      </c>
      <c r="Q41" s="30">
        <v>0.82599999999999996</v>
      </c>
      <c r="R41" s="39">
        <f t="shared" si="6"/>
        <v>0.78437754567442886</v>
      </c>
      <c r="S41" s="30">
        <f t="shared" si="7"/>
        <v>4.2013888888888893</v>
      </c>
      <c r="T41" s="30">
        <f t="shared" si="8"/>
        <v>12.845545657600601</v>
      </c>
      <c r="U41" s="30">
        <f t="shared" si="9"/>
        <v>4.2013888888888893</v>
      </c>
      <c r="V41" s="30">
        <f t="shared" si="10"/>
        <v>2.0625</v>
      </c>
      <c r="W41" s="30" t="b">
        <f t="shared" si="11"/>
        <v>1</v>
      </c>
    </row>
    <row r="42" spans="1:23" ht="15" customHeight="1" x14ac:dyDescent="0.2">
      <c r="A42" s="161">
        <v>30</v>
      </c>
      <c r="B42" s="162">
        <v>15</v>
      </c>
      <c r="C42" s="162">
        <v>25</v>
      </c>
      <c r="D42" s="162">
        <f t="shared" si="0"/>
        <v>25</v>
      </c>
      <c r="E42" s="162">
        <v>5</v>
      </c>
      <c r="F42" s="162">
        <v>60</v>
      </c>
      <c r="G42" s="162">
        <f t="shared" si="1"/>
        <v>55</v>
      </c>
      <c r="H42" s="42">
        <f t="shared" si="2"/>
        <v>3.5502347340234652</v>
      </c>
      <c r="I42" s="42">
        <f t="shared" si="12"/>
        <v>0.78437754567442886</v>
      </c>
      <c r="J42" s="56">
        <f t="shared" si="3"/>
        <v>9.6583050057147375</v>
      </c>
      <c r="K42" s="56">
        <f t="shared" si="13"/>
        <v>4.2013888888888893</v>
      </c>
      <c r="L42" s="56">
        <f t="shared" si="14"/>
        <v>9.6583050057147375</v>
      </c>
      <c r="M42" s="57">
        <f t="shared" si="4"/>
        <v>5</v>
      </c>
      <c r="N42" s="76" t="s">
        <v>5</v>
      </c>
      <c r="O42" s="167">
        <v>16</v>
      </c>
      <c r="P42" s="78" t="str">
        <f t="shared" si="5"/>
        <v>safe</v>
      </c>
      <c r="Q42" s="30">
        <v>0.82599999999999996</v>
      </c>
      <c r="R42" s="39">
        <f t="shared" si="6"/>
        <v>0.78437754567442886</v>
      </c>
      <c r="S42" s="30">
        <f t="shared" si="7"/>
        <v>4.2013888888888893</v>
      </c>
      <c r="T42" s="30">
        <f t="shared" si="8"/>
        <v>12.845545657600601</v>
      </c>
      <c r="U42" s="30">
        <f t="shared" si="9"/>
        <v>4.2013888888888893</v>
      </c>
      <c r="V42" s="30">
        <f t="shared" si="10"/>
        <v>2.0625</v>
      </c>
      <c r="W42" s="30" t="b">
        <f t="shared" si="11"/>
        <v>1</v>
      </c>
    </row>
    <row r="43" spans="1:23" ht="15" customHeight="1" x14ac:dyDescent="0.2">
      <c r="A43" s="161">
        <v>31</v>
      </c>
      <c r="B43" s="162">
        <v>15</v>
      </c>
      <c r="C43" s="162">
        <v>25</v>
      </c>
      <c r="D43" s="162">
        <f t="shared" si="0"/>
        <v>25</v>
      </c>
      <c r="E43" s="162">
        <v>5</v>
      </c>
      <c r="F43" s="162">
        <v>60</v>
      </c>
      <c r="G43" s="162">
        <f t="shared" si="1"/>
        <v>55</v>
      </c>
      <c r="H43" s="42">
        <f t="shared" si="2"/>
        <v>3.5502347340234652</v>
      </c>
      <c r="I43" s="42">
        <f t="shared" si="12"/>
        <v>0.78437754567442886</v>
      </c>
      <c r="J43" s="56">
        <f t="shared" si="3"/>
        <v>9.6583050057147375</v>
      </c>
      <c r="K43" s="56">
        <f t="shared" si="13"/>
        <v>4.2013888888888893</v>
      </c>
      <c r="L43" s="56">
        <f t="shared" si="14"/>
        <v>9.6583050057147375</v>
      </c>
      <c r="M43" s="57">
        <f t="shared" si="4"/>
        <v>5</v>
      </c>
      <c r="N43" s="76" t="s">
        <v>5</v>
      </c>
      <c r="O43" s="167">
        <v>16</v>
      </c>
      <c r="P43" s="78" t="str">
        <f t="shared" si="5"/>
        <v>safe</v>
      </c>
      <c r="Q43" s="30">
        <v>0.82599999999999996</v>
      </c>
      <c r="R43" s="39">
        <f t="shared" si="6"/>
        <v>0.78437754567442886</v>
      </c>
      <c r="S43" s="30">
        <f t="shared" si="7"/>
        <v>4.2013888888888893</v>
      </c>
      <c r="T43" s="30">
        <f t="shared" si="8"/>
        <v>12.845545657600601</v>
      </c>
      <c r="U43" s="30">
        <f t="shared" si="9"/>
        <v>4.2013888888888893</v>
      </c>
      <c r="V43" s="30">
        <f t="shared" si="10"/>
        <v>2.0625</v>
      </c>
      <c r="W43" s="30" t="b">
        <f t="shared" si="11"/>
        <v>1</v>
      </c>
    </row>
    <row r="44" spans="1:23" ht="15" customHeight="1" x14ac:dyDescent="0.2">
      <c r="A44" s="161">
        <v>32</v>
      </c>
      <c r="B44" s="162">
        <v>15</v>
      </c>
      <c r="C44" s="162">
        <v>25</v>
      </c>
      <c r="D44" s="162">
        <f t="shared" si="0"/>
        <v>25</v>
      </c>
      <c r="E44" s="162">
        <v>5</v>
      </c>
      <c r="F44" s="162">
        <v>60</v>
      </c>
      <c r="G44" s="162">
        <f t="shared" si="1"/>
        <v>55</v>
      </c>
      <c r="H44" s="42">
        <f t="shared" si="2"/>
        <v>3.5502347340234652</v>
      </c>
      <c r="I44" s="42">
        <f t="shared" si="12"/>
        <v>0.78437754567442886</v>
      </c>
      <c r="J44" s="56">
        <f t="shared" si="3"/>
        <v>9.6583050057147375</v>
      </c>
      <c r="K44" s="56">
        <f t="shared" si="13"/>
        <v>4.2013888888888893</v>
      </c>
      <c r="L44" s="56">
        <f t="shared" si="14"/>
        <v>9.6583050057147375</v>
      </c>
      <c r="M44" s="57">
        <f t="shared" si="4"/>
        <v>5</v>
      </c>
      <c r="N44" s="76" t="s">
        <v>5</v>
      </c>
      <c r="O44" s="167">
        <v>16</v>
      </c>
      <c r="P44" s="78" t="str">
        <f t="shared" si="5"/>
        <v>safe</v>
      </c>
      <c r="Q44" s="30">
        <v>0.82599999999999996</v>
      </c>
      <c r="R44" s="39">
        <f t="shared" si="6"/>
        <v>0.78437754567442886</v>
      </c>
      <c r="S44" s="30">
        <f t="shared" si="7"/>
        <v>4.2013888888888893</v>
      </c>
      <c r="T44" s="30">
        <f t="shared" si="8"/>
        <v>12.845545657600601</v>
      </c>
      <c r="U44" s="30">
        <f t="shared" si="9"/>
        <v>4.2013888888888893</v>
      </c>
      <c r="V44" s="30">
        <f t="shared" si="10"/>
        <v>2.0625</v>
      </c>
      <c r="W44" s="30" t="b">
        <f t="shared" si="11"/>
        <v>1</v>
      </c>
    </row>
    <row r="45" spans="1:23" ht="15" customHeight="1" x14ac:dyDescent="0.2">
      <c r="A45" s="161">
        <v>33</v>
      </c>
      <c r="B45" s="162">
        <v>15</v>
      </c>
      <c r="C45" s="162">
        <v>25</v>
      </c>
      <c r="D45" s="162">
        <f t="shared" si="0"/>
        <v>25</v>
      </c>
      <c r="E45" s="162">
        <v>5</v>
      </c>
      <c r="F45" s="162">
        <v>60</v>
      </c>
      <c r="G45" s="162">
        <f t="shared" si="1"/>
        <v>55</v>
      </c>
      <c r="H45" s="42">
        <f t="shared" si="2"/>
        <v>3.5502347340234652</v>
      </c>
      <c r="I45" s="42">
        <f t="shared" si="12"/>
        <v>0.78437754567442886</v>
      </c>
      <c r="J45" s="56">
        <f t="shared" si="3"/>
        <v>9.6583050057147375</v>
      </c>
      <c r="K45" s="56">
        <f t="shared" si="13"/>
        <v>4.2013888888888893</v>
      </c>
      <c r="L45" s="56">
        <f t="shared" si="14"/>
        <v>9.6583050057147375</v>
      </c>
      <c r="M45" s="57">
        <f t="shared" si="4"/>
        <v>5</v>
      </c>
      <c r="N45" s="76" t="s">
        <v>5</v>
      </c>
      <c r="O45" s="167">
        <v>16</v>
      </c>
      <c r="P45" s="78" t="str">
        <f t="shared" si="5"/>
        <v>safe</v>
      </c>
      <c r="Q45" s="30">
        <v>0.82599999999999996</v>
      </c>
      <c r="R45" s="39">
        <f t="shared" si="6"/>
        <v>0.78437754567442886</v>
      </c>
      <c r="S45" s="30">
        <f t="shared" si="7"/>
        <v>4.2013888888888893</v>
      </c>
      <c r="T45" s="30">
        <f t="shared" si="8"/>
        <v>12.845545657600601</v>
      </c>
      <c r="U45" s="30">
        <f t="shared" si="9"/>
        <v>4.2013888888888893</v>
      </c>
      <c r="V45" s="30">
        <f t="shared" si="10"/>
        <v>2.0625</v>
      </c>
      <c r="W45" s="30" t="b">
        <f t="shared" si="11"/>
        <v>1</v>
      </c>
    </row>
    <row r="46" spans="1:23" ht="15" customHeight="1" thickBot="1" x14ac:dyDescent="0.25">
      <c r="A46" s="163">
        <v>34</v>
      </c>
      <c r="B46" s="160">
        <v>15</v>
      </c>
      <c r="C46" s="160">
        <v>25</v>
      </c>
      <c r="D46" s="162">
        <f t="shared" si="0"/>
        <v>25</v>
      </c>
      <c r="E46" s="162">
        <v>5</v>
      </c>
      <c r="F46" s="162">
        <v>60</v>
      </c>
      <c r="G46" s="162">
        <f t="shared" si="1"/>
        <v>55</v>
      </c>
      <c r="H46" s="37">
        <f t="shared" si="2"/>
        <v>3.5502347340234652</v>
      </c>
      <c r="I46" s="37">
        <f t="shared" si="12"/>
        <v>0.78437754567442886</v>
      </c>
      <c r="J46" s="62">
        <f t="shared" si="3"/>
        <v>9.6583050057147375</v>
      </c>
      <c r="K46" s="62">
        <f t="shared" si="13"/>
        <v>4.2013888888888893</v>
      </c>
      <c r="L46" s="62">
        <f t="shared" si="14"/>
        <v>9.6583050057147375</v>
      </c>
      <c r="M46" s="63">
        <f t="shared" si="4"/>
        <v>5</v>
      </c>
      <c r="N46" s="64" t="s">
        <v>5</v>
      </c>
      <c r="O46" s="175">
        <v>16</v>
      </c>
      <c r="P46" s="65" t="str">
        <f t="shared" si="5"/>
        <v>safe</v>
      </c>
      <c r="Q46" s="30">
        <v>0.82599999999999996</v>
      </c>
      <c r="R46" s="39">
        <f t="shared" si="6"/>
        <v>0.78437754567442886</v>
      </c>
      <c r="S46" s="30">
        <f t="shared" si="7"/>
        <v>4.2013888888888893</v>
      </c>
      <c r="T46" s="30">
        <f t="shared" si="8"/>
        <v>12.845545657600601</v>
      </c>
      <c r="U46" s="30">
        <f t="shared" si="9"/>
        <v>4.2013888888888893</v>
      </c>
      <c r="V46" s="30">
        <f t="shared" si="10"/>
        <v>2.0625</v>
      </c>
      <c r="W46" s="30" t="b">
        <f t="shared" si="11"/>
        <v>1</v>
      </c>
    </row>
  </sheetData>
  <mergeCells count="6">
    <mergeCell ref="C4:P4"/>
    <mergeCell ref="A11:A12"/>
    <mergeCell ref="H11:H12"/>
    <mergeCell ref="I11:I12"/>
    <mergeCell ref="P11:P12"/>
    <mergeCell ref="M11:O12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&amp;R&amp;"Arial,Bold Italic"&amp;9Concrete design using the ultimate limit design method.</oddHeader>
    <oddFooter>&amp;L&amp;"Arial,Bold Italic"&amp;9By: Eng. Mahmoud El-Kateb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workbookViewId="0">
      <selection activeCell="C4" sqref="C4:O4"/>
    </sheetView>
  </sheetViews>
  <sheetFormatPr defaultColWidth="9.140625" defaultRowHeight="12.75" x14ac:dyDescent="0.2"/>
  <cols>
    <col min="1" max="1" width="4.5703125" style="30" customWidth="1"/>
    <col min="2" max="2" width="14.85546875" style="30" customWidth="1"/>
    <col min="3" max="3" width="7.28515625" style="30" customWidth="1"/>
    <col min="4" max="4" width="7.5703125" style="30" customWidth="1"/>
    <col min="5" max="5" width="7" style="30" customWidth="1"/>
    <col min="6" max="6" width="6.28515625" style="30" customWidth="1"/>
    <col min="7" max="7" width="5.7109375" style="30" customWidth="1"/>
    <col min="8" max="9" width="6.140625" style="30" customWidth="1"/>
    <col min="10" max="10" width="5.5703125" style="30" hidden="1" customWidth="1"/>
    <col min="11" max="11" width="5.85546875" style="30" customWidth="1"/>
    <col min="12" max="12" width="5.5703125" style="30" customWidth="1"/>
    <col min="13" max="13" width="3.5703125" style="30" customWidth="1"/>
    <col min="14" max="14" width="3.42578125" style="30" customWidth="1"/>
    <col min="15" max="15" width="3.85546875" style="30" customWidth="1"/>
    <col min="16" max="20" width="8.28515625" style="30" hidden="1" customWidth="1"/>
    <col min="21" max="26" width="9.140625" style="30" hidden="1" customWidth="1"/>
    <col min="27" max="27" width="9.140625" style="30"/>
    <col min="28" max="28" width="10.28515625" style="30" customWidth="1"/>
    <col min="29" max="16384" width="9.140625" style="30"/>
  </cols>
  <sheetData>
    <row r="1" spans="1:27" ht="22.5" x14ac:dyDescent="0.3">
      <c r="A1" s="34" t="s">
        <v>234</v>
      </c>
    </row>
    <row r="4" spans="1:27" ht="18.75" x14ac:dyDescent="0.3">
      <c r="B4" s="35" t="s">
        <v>33</v>
      </c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</row>
    <row r="5" spans="1:27" ht="15.75" x14ac:dyDescent="0.25">
      <c r="B5" s="36"/>
    </row>
    <row r="6" spans="1:27" ht="13.5" thickBot="1" x14ac:dyDescent="0.25">
      <c r="AA6" s="51"/>
    </row>
    <row r="7" spans="1:27" ht="22.5" customHeight="1" thickTop="1" x14ac:dyDescent="0.3">
      <c r="B7" s="52" t="s">
        <v>9</v>
      </c>
      <c r="C7" s="165">
        <v>225</v>
      </c>
      <c r="D7" s="53" t="s">
        <v>8</v>
      </c>
    </row>
    <row r="8" spans="1:27" ht="22.5" customHeight="1" thickBot="1" x14ac:dyDescent="0.35">
      <c r="B8" s="54" t="s">
        <v>44</v>
      </c>
      <c r="C8" s="166">
        <v>3600</v>
      </c>
      <c r="D8" s="55" t="s">
        <v>8</v>
      </c>
    </row>
    <row r="9" spans="1:27" ht="15.75" thickTop="1" x14ac:dyDescent="0.25">
      <c r="B9" s="50"/>
      <c r="C9" s="40"/>
      <c r="D9" s="40"/>
      <c r="E9" s="50"/>
      <c r="F9" s="50"/>
      <c r="G9" s="50"/>
    </row>
    <row r="10" spans="1:27" ht="13.5" thickBot="1" x14ac:dyDescent="0.25"/>
    <row r="11" spans="1:27" ht="15" customHeight="1" x14ac:dyDescent="0.25">
      <c r="A11" s="268" t="s">
        <v>10</v>
      </c>
      <c r="B11" s="6" t="s">
        <v>91</v>
      </c>
      <c r="C11" s="6" t="s">
        <v>231</v>
      </c>
      <c r="D11" s="6" t="s">
        <v>6</v>
      </c>
      <c r="E11" s="6" t="s">
        <v>7</v>
      </c>
      <c r="F11" s="6" t="s">
        <v>170</v>
      </c>
      <c r="G11" s="287" t="s">
        <v>232</v>
      </c>
      <c r="H11" s="277" t="s">
        <v>0</v>
      </c>
      <c r="I11" s="277" t="s">
        <v>1</v>
      </c>
      <c r="J11" s="16"/>
      <c r="K11" s="16" t="s">
        <v>160</v>
      </c>
      <c r="L11" s="16" t="s">
        <v>12</v>
      </c>
      <c r="M11" s="281" t="s">
        <v>204</v>
      </c>
      <c r="N11" s="282"/>
      <c r="O11" s="289"/>
    </row>
    <row r="12" spans="1:27" ht="17.25" customHeight="1" thickBot="1" x14ac:dyDescent="0.3">
      <c r="A12" s="269"/>
      <c r="B12" s="8" t="s">
        <v>57</v>
      </c>
      <c r="C12" s="8" t="s">
        <v>233</v>
      </c>
      <c r="D12" s="8" t="s">
        <v>3</v>
      </c>
      <c r="E12" s="8" t="s">
        <v>4</v>
      </c>
      <c r="F12" s="8" t="s">
        <v>23</v>
      </c>
      <c r="G12" s="288"/>
      <c r="H12" s="278"/>
      <c r="I12" s="278"/>
      <c r="J12" s="17" t="s">
        <v>2</v>
      </c>
      <c r="K12" s="17" t="s">
        <v>184</v>
      </c>
      <c r="L12" s="17" t="s">
        <v>2</v>
      </c>
      <c r="M12" s="284"/>
      <c r="N12" s="285"/>
      <c r="O12" s="290"/>
    </row>
    <row r="13" spans="1:27" ht="15" customHeight="1" x14ac:dyDescent="0.2">
      <c r="A13" s="161">
        <v>1</v>
      </c>
      <c r="B13" s="162">
        <v>15</v>
      </c>
      <c r="C13" s="162">
        <v>-20</v>
      </c>
      <c r="D13" s="162">
        <v>25</v>
      </c>
      <c r="E13" s="162">
        <v>65</v>
      </c>
      <c r="F13" s="162">
        <v>70</v>
      </c>
      <c r="G13" s="223" t="str">
        <f>IF(Q13,"Big","Small")</f>
        <v>Big</v>
      </c>
      <c r="H13" s="42">
        <f t="shared" ref="H13:H46" si="0">E13*($C$7*D13/T13/10^5)^0.5</f>
        <v>3.3640696017939766</v>
      </c>
      <c r="I13" s="42">
        <f>MIN(U13:V13)</f>
        <v>0.7732688116788704</v>
      </c>
      <c r="J13" s="56">
        <f>T13*10^5/$C$8/I13/E13+C13*1.15*1000/$C$8</f>
        <v>5.2168539508804237</v>
      </c>
      <c r="K13" s="56">
        <f>MAX(Y13:Z13)</f>
        <v>4.9652777777777786</v>
      </c>
      <c r="L13" s="56">
        <f>MAX(J13:K13)</f>
        <v>5.2168539508804237</v>
      </c>
      <c r="M13" s="57">
        <f>INT(L13*400/3.14/O13^2)+1</f>
        <v>3</v>
      </c>
      <c r="N13" s="75" t="s">
        <v>5</v>
      </c>
      <c r="O13" s="221">
        <v>16</v>
      </c>
      <c r="P13" s="30">
        <f>ABS(B13/C13)</f>
        <v>0.75</v>
      </c>
      <c r="Q13" s="30" t="b">
        <f>P13&gt;F13/200</f>
        <v>1</v>
      </c>
      <c r="R13" s="30">
        <f>C13/ABS(C13)</f>
        <v>-1</v>
      </c>
      <c r="S13" s="30">
        <f t="shared" ref="S13:S46" si="1">P13-R13*(F13*0.5-F13+E13)/100</f>
        <v>1.05</v>
      </c>
      <c r="T13" s="30">
        <f t="shared" ref="T13:T46" si="2">ABS(C13*S13)</f>
        <v>21</v>
      </c>
      <c r="U13" s="30">
        <v>0.82599999999999996</v>
      </c>
      <c r="V13" s="39">
        <f>0.5*(0.87+(0.7569-3.386/H13^2)^0.5)</f>
        <v>0.7732688116788704</v>
      </c>
      <c r="W13" s="30">
        <f t="shared" ref="W13:W46" si="3">11/$C$8*D13*E13</f>
        <v>4.9652777777777786</v>
      </c>
      <c r="X13" s="30">
        <f>1.33*J13</f>
        <v>6.9384157546709639</v>
      </c>
      <c r="Y13" s="30">
        <f>MIN(W13:X13)</f>
        <v>4.9652777777777786</v>
      </c>
      <c r="Z13" s="30">
        <f t="shared" ref="Z13:Z46" si="4">0.15/100*D13*E13</f>
        <v>2.4375</v>
      </c>
    </row>
    <row r="14" spans="1:27" ht="15" customHeight="1" x14ac:dyDescent="0.2">
      <c r="A14" s="161">
        <v>2</v>
      </c>
      <c r="B14" s="162">
        <v>15</v>
      </c>
      <c r="C14" s="162">
        <v>-20</v>
      </c>
      <c r="D14" s="162">
        <v>25</v>
      </c>
      <c r="E14" s="162">
        <v>65</v>
      </c>
      <c r="F14" s="162">
        <v>70</v>
      </c>
      <c r="G14" s="223" t="str">
        <f t="shared" ref="G14:G46" si="5">IF(Q14,"Big","Small")</f>
        <v>Big</v>
      </c>
      <c r="H14" s="42">
        <f t="shared" si="0"/>
        <v>3.3640696017939766</v>
      </c>
      <c r="I14" s="42">
        <f t="shared" ref="I14:I28" si="6">MIN(U14:V14)</f>
        <v>0.7732688116788704</v>
      </c>
      <c r="J14" s="56">
        <f t="shared" ref="J14:J46" si="7">T14*10^5/$C$8/I14/E14+C14*1.15*1000/$C$8</f>
        <v>5.2168539508804237</v>
      </c>
      <c r="K14" s="56">
        <f t="shared" ref="K14:K46" si="8">MAX(Y14:Z14)</f>
        <v>4.9652777777777786</v>
      </c>
      <c r="L14" s="56">
        <f t="shared" ref="L14:L46" si="9">MAX(J14:K14)</f>
        <v>5.2168539508804237</v>
      </c>
      <c r="M14" s="57">
        <f t="shared" ref="M14:M46" si="10">INT(L14*400/3.14/O14^2)+1</f>
        <v>3</v>
      </c>
      <c r="N14" s="60" t="s">
        <v>5</v>
      </c>
      <c r="O14" s="221">
        <v>16</v>
      </c>
      <c r="P14" s="30">
        <f t="shared" ref="P14:P46" si="11">ABS(B14/C14)</f>
        <v>0.75</v>
      </c>
      <c r="Q14" s="30" t="b">
        <f t="shared" ref="Q14:Q46" si="12">P14&gt;F14/200</f>
        <v>1</v>
      </c>
      <c r="R14" s="30">
        <f t="shared" ref="R14:R46" si="13">C14/ABS(C14)</f>
        <v>-1</v>
      </c>
      <c r="S14" s="30">
        <f t="shared" si="1"/>
        <v>1.05</v>
      </c>
      <c r="T14" s="30">
        <f t="shared" si="2"/>
        <v>21</v>
      </c>
      <c r="U14" s="30">
        <v>0.82599999999999996</v>
      </c>
      <c r="V14" s="39">
        <f t="shared" ref="V14:V46" si="14">0.5*(0.87+(0.7569-3.386/H14^2)^0.5)</f>
        <v>0.7732688116788704</v>
      </c>
      <c r="W14" s="30">
        <f t="shared" si="3"/>
        <v>4.9652777777777786</v>
      </c>
      <c r="X14" s="30">
        <f t="shared" ref="X14:X46" si="15">1.33*J14</f>
        <v>6.9384157546709639</v>
      </c>
      <c r="Y14" s="30">
        <f t="shared" ref="Y14:Y46" si="16">MIN(W14:X14)</f>
        <v>4.9652777777777786</v>
      </c>
      <c r="Z14" s="30">
        <f t="shared" si="4"/>
        <v>2.4375</v>
      </c>
    </row>
    <row r="15" spans="1:27" ht="15" customHeight="1" x14ac:dyDescent="0.2">
      <c r="A15" s="161">
        <v>3</v>
      </c>
      <c r="B15" s="162">
        <v>15</v>
      </c>
      <c r="C15" s="162">
        <v>-20</v>
      </c>
      <c r="D15" s="162">
        <v>25</v>
      </c>
      <c r="E15" s="162">
        <v>65</v>
      </c>
      <c r="F15" s="162">
        <v>70</v>
      </c>
      <c r="G15" s="223" t="str">
        <f t="shared" si="5"/>
        <v>Big</v>
      </c>
      <c r="H15" s="42">
        <f t="shared" si="0"/>
        <v>3.3640696017939766</v>
      </c>
      <c r="I15" s="42">
        <f t="shared" si="6"/>
        <v>0.7732688116788704</v>
      </c>
      <c r="J15" s="56">
        <f t="shared" si="7"/>
        <v>5.2168539508804237</v>
      </c>
      <c r="K15" s="56">
        <f t="shared" si="8"/>
        <v>4.9652777777777786</v>
      </c>
      <c r="L15" s="56">
        <f t="shared" si="9"/>
        <v>5.2168539508804237</v>
      </c>
      <c r="M15" s="57">
        <f t="shared" si="10"/>
        <v>3</v>
      </c>
      <c r="N15" s="60" t="s">
        <v>5</v>
      </c>
      <c r="O15" s="221">
        <v>16</v>
      </c>
      <c r="P15" s="30">
        <f t="shared" si="11"/>
        <v>0.75</v>
      </c>
      <c r="Q15" s="30" t="b">
        <f t="shared" si="12"/>
        <v>1</v>
      </c>
      <c r="R15" s="30">
        <f t="shared" si="13"/>
        <v>-1</v>
      </c>
      <c r="S15" s="30">
        <f t="shared" si="1"/>
        <v>1.05</v>
      </c>
      <c r="T15" s="30">
        <f t="shared" si="2"/>
        <v>21</v>
      </c>
      <c r="U15" s="30">
        <v>0.82599999999999996</v>
      </c>
      <c r="V15" s="39">
        <f t="shared" si="14"/>
        <v>0.7732688116788704</v>
      </c>
      <c r="W15" s="30">
        <f t="shared" si="3"/>
        <v>4.9652777777777786</v>
      </c>
      <c r="X15" s="30">
        <f t="shared" si="15"/>
        <v>6.9384157546709639</v>
      </c>
      <c r="Y15" s="30">
        <f t="shared" si="16"/>
        <v>4.9652777777777786</v>
      </c>
      <c r="Z15" s="30">
        <f t="shared" si="4"/>
        <v>2.4375</v>
      </c>
    </row>
    <row r="16" spans="1:27" ht="15" customHeight="1" x14ac:dyDescent="0.2">
      <c r="A16" s="161">
        <v>4</v>
      </c>
      <c r="B16" s="162">
        <v>15</v>
      </c>
      <c r="C16" s="162">
        <v>-20</v>
      </c>
      <c r="D16" s="162">
        <v>25</v>
      </c>
      <c r="E16" s="162">
        <v>65</v>
      </c>
      <c r="F16" s="162">
        <v>70</v>
      </c>
      <c r="G16" s="223" t="str">
        <f t="shared" si="5"/>
        <v>Big</v>
      </c>
      <c r="H16" s="42">
        <f t="shared" si="0"/>
        <v>3.3640696017939766</v>
      </c>
      <c r="I16" s="42">
        <f t="shared" si="6"/>
        <v>0.7732688116788704</v>
      </c>
      <c r="J16" s="56">
        <f t="shared" si="7"/>
        <v>5.2168539508804237</v>
      </c>
      <c r="K16" s="56">
        <f t="shared" si="8"/>
        <v>4.9652777777777786</v>
      </c>
      <c r="L16" s="56">
        <f t="shared" si="9"/>
        <v>5.2168539508804237</v>
      </c>
      <c r="M16" s="57">
        <f t="shared" si="10"/>
        <v>3</v>
      </c>
      <c r="N16" s="60" t="s">
        <v>5</v>
      </c>
      <c r="O16" s="221">
        <v>16</v>
      </c>
      <c r="P16" s="30">
        <f t="shared" si="11"/>
        <v>0.75</v>
      </c>
      <c r="Q16" s="30" t="b">
        <f t="shared" si="12"/>
        <v>1</v>
      </c>
      <c r="R16" s="30">
        <f t="shared" si="13"/>
        <v>-1</v>
      </c>
      <c r="S16" s="30">
        <f t="shared" si="1"/>
        <v>1.05</v>
      </c>
      <c r="T16" s="30">
        <f t="shared" si="2"/>
        <v>21</v>
      </c>
      <c r="U16" s="30">
        <v>0.82599999999999996</v>
      </c>
      <c r="V16" s="39">
        <f t="shared" si="14"/>
        <v>0.7732688116788704</v>
      </c>
      <c r="W16" s="30">
        <f t="shared" si="3"/>
        <v>4.9652777777777786</v>
      </c>
      <c r="X16" s="30">
        <f t="shared" si="15"/>
        <v>6.9384157546709639</v>
      </c>
      <c r="Y16" s="30">
        <f t="shared" si="16"/>
        <v>4.9652777777777786</v>
      </c>
      <c r="Z16" s="30">
        <f t="shared" si="4"/>
        <v>2.4375</v>
      </c>
    </row>
    <row r="17" spans="1:26" ht="15" customHeight="1" x14ac:dyDescent="0.2">
      <c r="A17" s="161">
        <v>5</v>
      </c>
      <c r="B17" s="162">
        <v>15</v>
      </c>
      <c r="C17" s="162">
        <v>-20</v>
      </c>
      <c r="D17" s="162">
        <v>25</v>
      </c>
      <c r="E17" s="162">
        <v>65</v>
      </c>
      <c r="F17" s="162">
        <v>70</v>
      </c>
      <c r="G17" s="223" t="str">
        <f t="shared" si="5"/>
        <v>Big</v>
      </c>
      <c r="H17" s="42">
        <f t="shared" si="0"/>
        <v>3.3640696017939766</v>
      </c>
      <c r="I17" s="42">
        <f t="shared" si="6"/>
        <v>0.7732688116788704</v>
      </c>
      <c r="J17" s="56">
        <f t="shared" si="7"/>
        <v>5.2168539508804237</v>
      </c>
      <c r="K17" s="56">
        <f t="shared" si="8"/>
        <v>4.9652777777777786</v>
      </c>
      <c r="L17" s="56">
        <f t="shared" si="9"/>
        <v>5.2168539508804237</v>
      </c>
      <c r="M17" s="57">
        <f t="shared" si="10"/>
        <v>3</v>
      </c>
      <c r="N17" s="60" t="s">
        <v>5</v>
      </c>
      <c r="O17" s="221">
        <v>16</v>
      </c>
      <c r="P17" s="30">
        <f t="shared" si="11"/>
        <v>0.75</v>
      </c>
      <c r="Q17" s="30" t="b">
        <f t="shared" si="12"/>
        <v>1</v>
      </c>
      <c r="R17" s="30">
        <f t="shared" si="13"/>
        <v>-1</v>
      </c>
      <c r="S17" s="30">
        <f t="shared" si="1"/>
        <v>1.05</v>
      </c>
      <c r="T17" s="30">
        <f t="shared" si="2"/>
        <v>21</v>
      </c>
      <c r="U17" s="30">
        <v>0.82599999999999996</v>
      </c>
      <c r="V17" s="39">
        <f t="shared" si="14"/>
        <v>0.7732688116788704</v>
      </c>
      <c r="W17" s="30">
        <f t="shared" si="3"/>
        <v>4.9652777777777786</v>
      </c>
      <c r="X17" s="30">
        <f t="shared" si="15"/>
        <v>6.9384157546709639</v>
      </c>
      <c r="Y17" s="30">
        <f t="shared" si="16"/>
        <v>4.9652777777777786</v>
      </c>
      <c r="Z17" s="30">
        <f t="shared" si="4"/>
        <v>2.4375</v>
      </c>
    </row>
    <row r="18" spans="1:26" ht="15" customHeight="1" x14ac:dyDescent="0.2">
      <c r="A18" s="161">
        <v>6</v>
      </c>
      <c r="B18" s="162">
        <v>15</v>
      </c>
      <c r="C18" s="162">
        <v>-20</v>
      </c>
      <c r="D18" s="162">
        <v>25</v>
      </c>
      <c r="E18" s="162">
        <v>65</v>
      </c>
      <c r="F18" s="162">
        <v>70</v>
      </c>
      <c r="G18" s="223" t="str">
        <f t="shared" si="5"/>
        <v>Big</v>
      </c>
      <c r="H18" s="42">
        <f t="shared" si="0"/>
        <v>3.3640696017939766</v>
      </c>
      <c r="I18" s="42">
        <f t="shared" si="6"/>
        <v>0.7732688116788704</v>
      </c>
      <c r="J18" s="56">
        <f t="shared" si="7"/>
        <v>5.2168539508804237</v>
      </c>
      <c r="K18" s="56">
        <f t="shared" si="8"/>
        <v>4.9652777777777786</v>
      </c>
      <c r="L18" s="56">
        <f t="shared" si="9"/>
        <v>5.2168539508804237</v>
      </c>
      <c r="M18" s="57">
        <f t="shared" si="10"/>
        <v>3</v>
      </c>
      <c r="N18" s="60" t="s">
        <v>5</v>
      </c>
      <c r="O18" s="221">
        <v>16</v>
      </c>
      <c r="P18" s="30">
        <f t="shared" si="11"/>
        <v>0.75</v>
      </c>
      <c r="Q18" s="30" t="b">
        <f t="shared" si="12"/>
        <v>1</v>
      </c>
      <c r="R18" s="30">
        <f t="shared" si="13"/>
        <v>-1</v>
      </c>
      <c r="S18" s="30">
        <f t="shared" si="1"/>
        <v>1.05</v>
      </c>
      <c r="T18" s="30">
        <f t="shared" si="2"/>
        <v>21</v>
      </c>
      <c r="U18" s="30">
        <v>0.82599999999999996</v>
      </c>
      <c r="V18" s="39">
        <f t="shared" si="14"/>
        <v>0.7732688116788704</v>
      </c>
      <c r="W18" s="30">
        <f t="shared" si="3"/>
        <v>4.9652777777777786</v>
      </c>
      <c r="X18" s="30">
        <f t="shared" si="15"/>
        <v>6.9384157546709639</v>
      </c>
      <c r="Y18" s="30">
        <f t="shared" si="16"/>
        <v>4.9652777777777786</v>
      </c>
      <c r="Z18" s="30">
        <f t="shared" si="4"/>
        <v>2.4375</v>
      </c>
    </row>
    <row r="19" spans="1:26" ht="15" customHeight="1" x14ac:dyDescent="0.2">
      <c r="A19" s="161">
        <v>7</v>
      </c>
      <c r="B19" s="162">
        <v>15</v>
      </c>
      <c r="C19" s="162">
        <v>-20</v>
      </c>
      <c r="D19" s="162">
        <v>25</v>
      </c>
      <c r="E19" s="162">
        <v>65</v>
      </c>
      <c r="F19" s="162">
        <v>70</v>
      </c>
      <c r="G19" s="223" t="str">
        <f t="shared" si="5"/>
        <v>Big</v>
      </c>
      <c r="H19" s="42">
        <f t="shared" si="0"/>
        <v>3.3640696017939766</v>
      </c>
      <c r="I19" s="42">
        <f t="shared" si="6"/>
        <v>0.7732688116788704</v>
      </c>
      <c r="J19" s="56">
        <f t="shared" si="7"/>
        <v>5.2168539508804237</v>
      </c>
      <c r="K19" s="56">
        <f t="shared" si="8"/>
        <v>4.9652777777777786</v>
      </c>
      <c r="L19" s="56">
        <f t="shared" si="9"/>
        <v>5.2168539508804237</v>
      </c>
      <c r="M19" s="57">
        <f t="shared" si="10"/>
        <v>3</v>
      </c>
      <c r="N19" s="60" t="s">
        <v>5</v>
      </c>
      <c r="O19" s="221">
        <v>16</v>
      </c>
      <c r="P19" s="30">
        <f t="shared" si="11"/>
        <v>0.75</v>
      </c>
      <c r="Q19" s="30" t="b">
        <f t="shared" si="12"/>
        <v>1</v>
      </c>
      <c r="R19" s="30">
        <f t="shared" si="13"/>
        <v>-1</v>
      </c>
      <c r="S19" s="30">
        <f t="shared" si="1"/>
        <v>1.05</v>
      </c>
      <c r="T19" s="30">
        <f t="shared" si="2"/>
        <v>21</v>
      </c>
      <c r="U19" s="30">
        <v>0.82599999999999996</v>
      </c>
      <c r="V19" s="39">
        <f t="shared" si="14"/>
        <v>0.7732688116788704</v>
      </c>
      <c r="W19" s="30">
        <f t="shared" si="3"/>
        <v>4.9652777777777786</v>
      </c>
      <c r="X19" s="30">
        <f t="shared" si="15"/>
        <v>6.9384157546709639</v>
      </c>
      <c r="Y19" s="30">
        <f t="shared" si="16"/>
        <v>4.9652777777777786</v>
      </c>
      <c r="Z19" s="30">
        <f t="shared" si="4"/>
        <v>2.4375</v>
      </c>
    </row>
    <row r="20" spans="1:26" ht="15" customHeight="1" x14ac:dyDescent="0.2">
      <c r="A20" s="161">
        <v>8</v>
      </c>
      <c r="B20" s="162">
        <v>15</v>
      </c>
      <c r="C20" s="162">
        <v>-20</v>
      </c>
      <c r="D20" s="162">
        <v>25</v>
      </c>
      <c r="E20" s="162">
        <v>65</v>
      </c>
      <c r="F20" s="162">
        <v>70</v>
      </c>
      <c r="G20" s="223" t="str">
        <f t="shared" si="5"/>
        <v>Big</v>
      </c>
      <c r="H20" s="42">
        <f t="shared" si="0"/>
        <v>3.3640696017939766</v>
      </c>
      <c r="I20" s="42">
        <f t="shared" si="6"/>
        <v>0.7732688116788704</v>
      </c>
      <c r="J20" s="56">
        <f t="shared" si="7"/>
        <v>5.2168539508804237</v>
      </c>
      <c r="K20" s="56">
        <f t="shared" si="8"/>
        <v>4.9652777777777786</v>
      </c>
      <c r="L20" s="56">
        <f t="shared" si="9"/>
        <v>5.2168539508804237</v>
      </c>
      <c r="M20" s="57">
        <f t="shared" si="10"/>
        <v>3</v>
      </c>
      <c r="N20" s="60" t="s">
        <v>5</v>
      </c>
      <c r="O20" s="221">
        <v>16</v>
      </c>
      <c r="P20" s="30">
        <f t="shared" si="11"/>
        <v>0.75</v>
      </c>
      <c r="Q20" s="30" t="b">
        <f t="shared" si="12"/>
        <v>1</v>
      </c>
      <c r="R20" s="30">
        <f t="shared" si="13"/>
        <v>-1</v>
      </c>
      <c r="S20" s="30">
        <f t="shared" si="1"/>
        <v>1.05</v>
      </c>
      <c r="T20" s="30">
        <f t="shared" si="2"/>
        <v>21</v>
      </c>
      <c r="U20" s="30">
        <v>0.82599999999999996</v>
      </c>
      <c r="V20" s="39">
        <f t="shared" si="14"/>
        <v>0.7732688116788704</v>
      </c>
      <c r="W20" s="30">
        <f t="shared" si="3"/>
        <v>4.9652777777777786</v>
      </c>
      <c r="X20" s="30">
        <f t="shared" si="15"/>
        <v>6.9384157546709639</v>
      </c>
      <c r="Y20" s="30">
        <f t="shared" si="16"/>
        <v>4.9652777777777786</v>
      </c>
      <c r="Z20" s="30">
        <f t="shared" si="4"/>
        <v>2.4375</v>
      </c>
    </row>
    <row r="21" spans="1:26" ht="15" customHeight="1" x14ac:dyDescent="0.2">
      <c r="A21" s="161">
        <v>9</v>
      </c>
      <c r="B21" s="162">
        <v>15</v>
      </c>
      <c r="C21" s="162">
        <v>-20</v>
      </c>
      <c r="D21" s="162">
        <v>25</v>
      </c>
      <c r="E21" s="162">
        <v>65</v>
      </c>
      <c r="F21" s="162">
        <v>70</v>
      </c>
      <c r="G21" s="223" t="str">
        <f t="shared" si="5"/>
        <v>Big</v>
      </c>
      <c r="H21" s="42">
        <f t="shared" si="0"/>
        <v>3.3640696017939766</v>
      </c>
      <c r="I21" s="42">
        <f t="shared" si="6"/>
        <v>0.7732688116788704</v>
      </c>
      <c r="J21" s="56">
        <f t="shared" si="7"/>
        <v>5.2168539508804237</v>
      </c>
      <c r="K21" s="56">
        <f t="shared" si="8"/>
        <v>4.9652777777777786</v>
      </c>
      <c r="L21" s="56">
        <f t="shared" si="9"/>
        <v>5.2168539508804237</v>
      </c>
      <c r="M21" s="57">
        <f t="shared" si="10"/>
        <v>3</v>
      </c>
      <c r="N21" s="60" t="s">
        <v>5</v>
      </c>
      <c r="O21" s="221">
        <v>16</v>
      </c>
      <c r="P21" s="30">
        <f t="shared" si="11"/>
        <v>0.75</v>
      </c>
      <c r="Q21" s="30" t="b">
        <f t="shared" si="12"/>
        <v>1</v>
      </c>
      <c r="R21" s="30">
        <f t="shared" si="13"/>
        <v>-1</v>
      </c>
      <c r="S21" s="30">
        <f t="shared" si="1"/>
        <v>1.05</v>
      </c>
      <c r="T21" s="30">
        <f t="shared" si="2"/>
        <v>21</v>
      </c>
      <c r="U21" s="30">
        <v>0.82599999999999996</v>
      </c>
      <c r="V21" s="39">
        <f t="shared" si="14"/>
        <v>0.7732688116788704</v>
      </c>
      <c r="W21" s="30">
        <f t="shared" si="3"/>
        <v>4.9652777777777786</v>
      </c>
      <c r="X21" s="30">
        <f t="shared" si="15"/>
        <v>6.9384157546709639</v>
      </c>
      <c r="Y21" s="30">
        <f t="shared" si="16"/>
        <v>4.9652777777777786</v>
      </c>
      <c r="Z21" s="30">
        <f t="shared" si="4"/>
        <v>2.4375</v>
      </c>
    </row>
    <row r="22" spans="1:26" ht="15" customHeight="1" x14ac:dyDescent="0.2">
      <c r="A22" s="161">
        <v>10</v>
      </c>
      <c r="B22" s="162">
        <v>15</v>
      </c>
      <c r="C22" s="162">
        <v>-20</v>
      </c>
      <c r="D22" s="162">
        <v>25</v>
      </c>
      <c r="E22" s="162">
        <v>65</v>
      </c>
      <c r="F22" s="162">
        <v>70</v>
      </c>
      <c r="G22" s="223" t="str">
        <f t="shared" si="5"/>
        <v>Big</v>
      </c>
      <c r="H22" s="42">
        <f t="shared" si="0"/>
        <v>3.3640696017939766</v>
      </c>
      <c r="I22" s="42">
        <f t="shared" si="6"/>
        <v>0.7732688116788704</v>
      </c>
      <c r="J22" s="56">
        <f t="shared" si="7"/>
        <v>5.2168539508804237</v>
      </c>
      <c r="K22" s="56">
        <f t="shared" si="8"/>
        <v>4.9652777777777786</v>
      </c>
      <c r="L22" s="56">
        <f t="shared" si="9"/>
        <v>5.2168539508804237</v>
      </c>
      <c r="M22" s="57">
        <f t="shared" si="10"/>
        <v>3</v>
      </c>
      <c r="N22" s="60" t="s">
        <v>5</v>
      </c>
      <c r="O22" s="221">
        <v>16</v>
      </c>
      <c r="P22" s="30">
        <f t="shared" si="11"/>
        <v>0.75</v>
      </c>
      <c r="Q22" s="30" t="b">
        <f t="shared" si="12"/>
        <v>1</v>
      </c>
      <c r="R22" s="30">
        <f t="shared" si="13"/>
        <v>-1</v>
      </c>
      <c r="S22" s="30">
        <f t="shared" si="1"/>
        <v>1.05</v>
      </c>
      <c r="T22" s="30">
        <f t="shared" si="2"/>
        <v>21</v>
      </c>
      <c r="U22" s="30">
        <v>0.82599999999999996</v>
      </c>
      <c r="V22" s="39">
        <f t="shared" si="14"/>
        <v>0.7732688116788704</v>
      </c>
      <c r="W22" s="30">
        <f t="shared" si="3"/>
        <v>4.9652777777777786</v>
      </c>
      <c r="X22" s="30">
        <f t="shared" si="15"/>
        <v>6.9384157546709639</v>
      </c>
      <c r="Y22" s="30">
        <f t="shared" si="16"/>
        <v>4.9652777777777786</v>
      </c>
      <c r="Z22" s="30">
        <f t="shared" si="4"/>
        <v>2.4375</v>
      </c>
    </row>
    <row r="23" spans="1:26" ht="15" customHeight="1" x14ac:dyDescent="0.2">
      <c r="A23" s="161">
        <v>11</v>
      </c>
      <c r="B23" s="162">
        <v>15</v>
      </c>
      <c r="C23" s="162">
        <v>-20</v>
      </c>
      <c r="D23" s="162">
        <v>25</v>
      </c>
      <c r="E23" s="162">
        <v>65</v>
      </c>
      <c r="F23" s="162">
        <v>70</v>
      </c>
      <c r="G23" s="223" t="str">
        <f t="shared" si="5"/>
        <v>Big</v>
      </c>
      <c r="H23" s="42">
        <f t="shared" si="0"/>
        <v>3.3640696017939766</v>
      </c>
      <c r="I23" s="42">
        <f t="shared" si="6"/>
        <v>0.7732688116788704</v>
      </c>
      <c r="J23" s="56">
        <f t="shared" si="7"/>
        <v>5.2168539508804237</v>
      </c>
      <c r="K23" s="56">
        <f t="shared" si="8"/>
        <v>4.9652777777777786</v>
      </c>
      <c r="L23" s="56">
        <f t="shared" si="9"/>
        <v>5.2168539508804237</v>
      </c>
      <c r="M23" s="57">
        <f t="shared" si="10"/>
        <v>3</v>
      </c>
      <c r="N23" s="60" t="s">
        <v>5</v>
      </c>
      <c r="O23" s="221">
        <v>16</v>
      </c>
      <c r="P23" s="30">
        <f t="shared" si="11"/>
        <v>0.75</v>
      </c>
      <c r="Q23" s="30" t="b">
        <f t="shared" si="12"/>
        <v>1</v>
      </c>
      <c r="R23" s="30">
        <f t="shared" si="13"/>
        <v>-1</v>
      </c>
      <c r="S23" s="30">
        <f t="shared" si="1"/>
        <v>1.05</v>
      </c>
      <c r="T23" s="30">
        <f t="shared" si="2"/>
        <v>21</v>
      </c>
      <c r="U23" s="30">
        <v>0.82599999999999996</v>
      </c>
      <c r="V23" s="39">
        <f t="shared" si="14"/>
        <v>0.7732688116788704</v>
      </c>
      <c r="W23" s="30">
        <f t="shared" si="3"/>
        <v>4.9652777777777786</v>
      </c>
      <c r="X23" s="30">
        <f t="shared" si="15"/>
        <v>6.9384157546709639</v>
      </c>
      <c r="Y23" s="30">
        <f t="shared" si="16"/>
        <v>4.9652777777777786</v>
      </c>
      <c r="Z23" s="30">
        <f t="shared" si="4"/>
        <v>2.4375</v>
      </c>
    </row>
    <row r="24" spans="1:26" ht="15" customHeight="1" x14ac:dyDescent="0.2">
      <c r="A24" s="161">
        <v>12</v>
      </c>
      <c r="B24" s="162">
        <v>15</v>
      </c>
      <c r="C24" s="162">
        <v>-20</v>
      </c>
      <c r="D24" s="162">
        <v>25</v>
      </c>
      <c r="E24" s="162">
        <v>65</v>
      </c>
      <c r="F24" s="162">
        <v>70</v>
      </c>
      <c r="G24" s="223" t="str">
        <f t="shared" si="5"/>
        <v>Big</v>
      </c>
      <c r="H24" s="42">
        <f t="shared" si="0"/>
        <v>3.3640696017939766</v>
      </c>
      <c r="I24" s="42">
        <f t="shared" si="6"/>
        <v>0.7732688116788704</v>
      </c>
      <c r="J24" s="56">
        <f t="shared" si="7"/>
        <v>5.2168539508804237</v>
      </c>
      <c r="K24" s="56">
        <f t="shared" si="8"/>
        <v>4.9652777777777786</v>
      </c>
      <c r="L24" s="56">
        <f t="shared" si="9"/>
        <v>5.2168539508804237</v>
      </c>
      <c r="M24" s="57">
        <f t="shared" si="10"/>
        <v>3</v>
      </c>
      <c r="N24" s="60" t="s">
        <v>5</v>
      </c>
      <c r="O24" s="221">
        <v>16</v>
      </c>
      <c r="P24" s="30">
        <f t="shared" si="11"/>
        <v>0.75</v>
      </c>
      <c r="Q24" s="30" t="b">
        <f t="shared" si="12"/>
        <v>1</v>
      </c>
      <c r="R24" s="30">
        <f t="shared" si="13"/>
        <v>-1</v>
      </c>
      <c r="S24" s="30">
        <f t="shared" si="1"/>
        <v>1.05</v>
      </c>
      <c r="T24" s="30">
        <f t="shared" si="2"/>
        <v>21</v>
      </c>
      <c r="U24" s="30">
        <v>0.82599999999999996</v>
      </c>
      <c r="V24" s="39">
        <f t="shared" si="14"/>
        <v>0.7732688116788704</v>
      </c>
      <c r="W24" s="30">
        <f t="shared" si="3"/>
        <v>4.9652777777777786</v>
      </c>
      <c r="X24" s="30">
        <f t="shared" si="15"/>
        <v>6.9384157546709639</v>
      </c>
      <c r="Y24" s="30">
        <f t="shared" si="16"/>
        <v>4.9652777777777786</v>
      </c>
      <c r="Z24" s="30">
        <f t="shared" si="4"/>
        <v>2.4375</v>
      </c>
    </row>
    <row r="25" spans="1:26" ht="15" customHeight="1" x14ac:dyDescent="0.2">
      <c r="A25" s="161">
        <v>13</v>
      </c>
      <c r="B25" s="162">
        <v>15</v>
      </c>
      <c r="C25" s="162">
        <v>-20</v>
      </c>
      <c r="D25" s="162">
        <v>25</v>
      </c>
      <c r="E25" s="162">
        <v>65</v>
      </c>
      <c r="F25" s="162">
        <v>70</v>
      </c>
      <c r="G25" s="223" t="str">
        <f t="shared" si="5"/>
        <v>Big</v>
      </c>
      <c r="H25" s="42">
        <f t="shared" si="0"/>
        <v>3.3640696017939766</v>
      </c>
      <c r="I25" s="42">
        <f t="shared" si="6"/>
        <v>0.7732688116788704</v>
      </c>
      <c r="J25" s="56">
        <f t="shared" si="7"/>
        <v>5.2168539508804237</v>
      </c>
      <c r="K25" s="56">
        <f t="shared" si="8"/>
        <v>4.9652777777777786</v>
      </c>
      <c r="L25" s="56">
        <f t="shared" si="9"/>
        <v>5.2168539508804237</v>
      </c>
      <c r="M25" s="57">
        <f t="shared" si="10"/>
        <v>3</v>
      </c>
      <c r="N25" s="60" t="s">
        <v>5</v>
      </c>
      <c r="O25" s="221">
        <v>16</v>
      </c>
      <c r="P25" s="30">
        <f t="shared" si="11"/>
        <v>0.75</v>
      </c>
      <c r="Q25" s="30" t="b">
        <f t="shared" si="12"/>
        <v>1</v>
      </c>
      <c r="R25" s="30">
        <f t="shared" si="13"/>
        <v>-1</v>
      </c>
      <c r="S25" s="30">
        <f t="shared" si="1"/>
        <v>1.05</v>
      </c>
      <c r="T25" s="30">
        <f t="shared" si="2"/>
        <v>21</v>
      </c>
      <c r="U25" s="30">
        <v>0.82599999999999996</v>
      </c>
      <c r="V25" s="39">
        <f t="shared" si="14"/>
        <v>0.7732688116788704</v>
      </c>
      <c r="W25" s="30">
        <f t="shared" si="3"/>
        <v>4.9652777777777786</v>
      </c>
      <c r="X25" s="30">
        <f t="shared" si="15"/>
        <v>6.9384157546709639</v>
      </c>
      <c r="Y25" s="30">
        <f t="shared" si="16"/>
        <v>4.9652777777777786</v>
      </c>
      <c r="Z25" s="30">
        <f t="shared" si="4"/>
        <v>2.4375</v>
      </c>
    </row>
    <row r="26" spans="1:26" ht="15" customHeight="1" x14ac:dyDescent="0.2">
      <c r="A26" s="161">
        <v>14</v>
      </c>
      <c r="B26" s="162">
        <v>15</v>
      </c>
      <c r="C26" s="162">
        <v>-20</v>
      </c>
      <c r="D26" s="162">
        <v>25</v>
      </c>
      <c r="E26" s="162">
        <v>65</v>
      </c>
      <c r="F26" s="162">
        <v>70</v>
      </c>
      <c r="G26" s="223" t="str">
        <f t="shared" si="5"/>
        <v>Big</v>
      </c>
      <c r="H26" s="42">
        <f t="shared" si="0"/>
        <v>3.3640696017939766</v>
      </c>
      <c r="I26" s="42">
        <f t="shared" si="6"/>
        <v>0.7732688116788704</v>
      </c>
      <c r="J26" s="56">
        <f t="shared" si="7"/>
        <v>5.2168539508804237</v>
      </c>
      <c r="K26" s="56">
        <f t="shared" si="8"/>
        <v>4.9652777777777786</v>
      </c>
      <c r="L26" s="56">
        <f t="shared" si="9"/>
        <v>5.2168539508804237</v>
      </c>
      <c r="M26" s="57">
        <f t="shared" si="10"/>
        <v>3</v>
      </c>
      <c r="N26" s="60" t="s">
        <v>5</v>
      </c>
      <c r="O26" s="221">
        <v>16</v>
      </c>
      <c r="P26" s="30">
        <f t="shared" si="11"/>
        <v>0.75</v>
      </c>
      <c r="Q26" s="30" t="b">
        <f t="shared" si="12"/>
        <v>1</v>
      </c>
      <c r="R26" s="30">
        <f t="shared" si="13"/>
        <v>-1</v>
      </c>
      <c r="S26" s="30">
        <f t="shared" si="1"/>
        <v>1.05</v>
      </c>
      <c r="T26" s="30">
        <f t="shared" si="2"/>
        <v>21</v>
      </c>
      <c r="U26" s="30">
        <v>0.82599999999999996</v>
      </c>
      <c r="V26" s="39">
        <f t="shared" si="14"/>
        <v>0.7732688116788704</v>
      </c>
      <c r="W26" s="30">
        <f t="shared" si="3"/>
        <v>4.9652777777777786</v>
      </c>
      <c r="X26" s="30">
        <f t="shared" si="15"/>
        <v>6.9384157546709639</v>
      </c>
      <c r="Y26" s="30">
        <f t="shared" si="16"/>
        <v>4.9652777777777786</v>
      </c>
      <c r="Z26" s="30">
        <f t="shared" si="4"/>
        <v>2.4375</v>
      </c>
    </row>
    <row r="27" spans="1:26" ht="15" customHeight="1" x14ac:dyDescent="0.2">
      <c r="A27" s="161">
        <v>15</v>
      </c>
      <c r="B27" s="162">
        <v>15</v>
      </c>
      <c r="C27" s="162">
        <v>-20</v>
      </c>
      <c r="D27" s="162">
        <v>25</v>
      </c>
      <c r="E27" s="162">
        <v>65</v>
      </c>
      <c r="F27" s="162">
        <v>70</v>
      </c>
      <c r="G27" s="223" t="str">
        <f t="shared" si="5"/>
        <v>Big</v>
      </c>
      <c r="H27" s="42">
        <f t="shared" si="0"/>
        <v>3.3640696017939766</v>
      </c>
      <c r="I27" s="42">
        <f t="shared" si="6"/>
        <v>0.7732688116788704</v>
      </c>
      <c r="J27" s="56">
        <f t="shared" si="7"/>
        <v>5.2168539508804237</v>
      </c>
      <c r="K27" s="56">
        <f t="shared" si="8"/>
        <v>4.9652777777777786</v>
      </c>
      <c r="L27" s="56">
        <f t="shared" si="9"/>
        <v>5.2168539508804237</v>
      </c>
      <c r="M27" s="57">
        <f t="shared" si="10"/>
        <v>3</v>
      </c>
      <c r="N27" s="60" t="s">
        <v>5</v>
      </c>
      <c r="O27" s="221">
        <v>16</v>
      </c>
      <c r="P27" s="30">
        <f t="shared" si="11"/>
        <v>0.75</v>
      </c>
      <c r="Q27" s="30" t="b">
        <f t="shared" si="12"/>
        <v>1</v>
      </c>
      <c r="R27" s="30">
        <f t="shared" si="13"/>
        <v>-1</v>
      </c>
      <c r="S27" s="30">
        <f t="shared" si="1"/>
        <v>1.05</v>
      </c>
      <c r="T27" s="30">
        <f t="shared" si="2"/>
        <v>21</v>
      </c>
      <c r="U27" s="30">
        <v>0.82599999999999996</v>
      </c>
      <c r="V27" s="39">
        <f t="shared" si="14"/>
        <v>0.7732688116788704</v>
      </c>
      <c r="W27" s="30">
        <f t="shared" si="3"/>
        <v>4.9652777777777786</v>
      </c>
      <c r="X27" s="30">
        <f t="shared" si="15"/>
        <v>6.9384157546709639</v>
      </c>
      <c r="Y27" s="30">
        <f t="shared" si="16"/>
        <v>4.9652777777777786</v>
      </c>
      <c r="Z27" s="30">
        <f t="shared" si="4"/>
        <v>2.4375</v>
      </c>
    </row>
    <row r="28" spans="1:26" ht="15" customHeight="1" x14ac:dyDescent="0.2">
      <c r="A28" s="161">
        <v>16</v>
      </c>
      <c r="B28" s="162">
        <v>15</v>
      </c>
      <c r="C28" s="162">
        <v>-20</v>
      </c>
      <c r="D28" s="162">
        <v>25</v>
      </c>
      <c r="E28" s="162">
        <v>65</v>
      </c>
      <c r="F28" s="162">
        <v>70</v>
      </c>
      <c r="G28" s="223" t="str">
        <f t="shared" si="5"/>
        <v>Big</v>
      </c>
      <c r="H28" s="42">
        <f t="shared" si="0"/>
        <v>3.3640696017939766</v>
      </c>
      <c r="I28" s="42">
        <f t="shared" si="6"/>
        <v>0.7732688116788704</v>
      </c>
      <c r="J28" s="56">
        <f t="shared" si="7"/>
        <v>5.2168539508804237</v>
      </c>
      <c r="K28" s="56">
        <f t="shared" si="8"/>
        <v>4.9652777777777786</v>
      </c>
      <c r="L28" s="56">
        <f t="shared" si="9"/>
        <v>5.2168539508804237</v>
      </c>
      <c r="M28" s="57">
        <f t="shared" si="10"/>
        <v>3</v>
      </c>
      <c r="N28" s="60" t="s">
        <v>5</v>
      </c>
      <c r="O28" s="221">
        <v>16</v>
      </c>
      <c r="P28" s="30">
        <f t="shared" si="11"/>
        <v>0.75</v>
      </c>
      <c r="Q28" s="30" t="b">
        <f t="shared" si="12"/>
        <v>1</v>
      </c>
      <c r="R28" s="30">
        <f t="shared" si="13"/>
        <v>-1</v>
      </c>
      <c r="S28" s="30">
        <f t="shared" si="1"/>
        <v>1.05</v>
      </c>
      <c r="T28" s="30">
        <f t="shared" si="2"/>
        <v>21</v>
      </c>
      <c r="U28" s="30">
        <v>0.82599999999999996</v>
      </c>
      <c r="V28" s="39">
        <f t="shared" si="14"/>
        <v>0.7732688116788704</v>
      </c>
      <c r="W28" s="30">
        <f t="shared" si="3"/>
        <v>4.9652777777777786</v>
      </c>
      <c r="X28" s="30">
        <f t="shared" si="15"/>
        <v>6.9384157546709639</v>
      </c>
      <c r="Y28" s="30">
        <f t="shared" si="16"/>
        <v>4.9652777777777786</v>
      </c>
      <c r="Z28" s="30">
        <f t="shared" si="4"/>
        <v>2.4375</v>
      </c>
    </row>
    <row r="29" spans="1:26" ht="15" customHeight="1" x14ac:dyDescent="0.2">
      <c r="A29" s="161">
        <v>17</v>
      </c>
      <c r="B29" s="162">
        <v>15</v>
      </c>
      <c r="C29" s="162">
        <v>-20</v>
      </c>
      <c r="D29" s="162">
        <v>25</v>
      </c>
      <c r="E29" s="162">
        <v>65</v>
      </c>
      <c r="F29" s="162">
        <v>70</v>
      </c>
      <c r="G29" s="223" t="str">
        <f t="shared" si="5"/>
        <v>Big</v>
      </c>
      <c r="H29" s="42">
        <f t="shared" si="0"/>
        <v>3.3640696017939766</v>
      </c>
      <c r="I29" s="42">
        <f t="shared" ref="I29:I46" si="17">MIN(U29:V29)</f>
        <v>0.7732688116788704</v>
      </c>
      <c r="J29" s="56">
        <f t="shared" si="7"/>
        <v>5.2168539508804237</v>
      </c>
      <c r="K29" s="56">
        <f t="shared" si="8"/>
        <v>4.9652777777777786</v>
      </c>
      <c r="L29" s="56">
        <f t="shared" si="9"/>
        <v>5.2168539508804237</v>
      </c>
      <c r="M29" s="57">
        <f t="shared" si="10"/>
        <v>3</v>
      </c>
      <c r="N29" s="60" t="s">
        <v>5</v>
      </c>
      <c r="O29" s="221">
        <v>16</v>
      </c>
      <c r="P29" s="30">
        <f t="shared" si="11"/>
        <v>0.75</v>
      </c>
      <c r="Q29" s="30" t="b">
        <f t="shared" si="12"/>
        <v>1</v>
      </c>
      <c r="R29" s="30">
        <f t="shared" si="13"/>
        <v>-1</v>
      </c>
      <c r="S29" s="30">
        <f t="shared" si="1"/>
        <v>1.05</v>
      </c>
      <c r="T29" s="30">
        <f t="shared" si="2"/>
        <v>21</v>
      </c>
      <c r="U29" s="30">
        <v>0.82599999999999996</v>
      </c>
      <c r="V29" s="39">
        <f t="shared" si="14"/>
        <v>0.7732688116788704</v>
      </c>
      <c r="W29" s="30">
        <f t="shared" si="3"/>
        <v>4.9652777777777786</v>
      </c>
      <c r="X29" s="30">
        <f t="shared" si="15"/>
        <v>6.9384157546709639</v>
      </c>
      <c r="Y29" s="30">
        <f t="shared" si="16"/>
        <v>4.9652777777777786</v>
      </c>
      <c r="Z29" s="30">
        <f t="shared" si="4"/>
        <v>2.4375</v>
      </c>
    </row>
    <row r="30" spans="1:26" ht="15" customHeight="1" x14ac:dyDescent="0.2">
      <c r="A30" s="161">
        <v>18</v>
      </c>
      <c r="B30" s="162">
        <v>15</v>
      </c>
      <c r="C30" s="162">
        <v>-20</v>
      </c>
      <c r="D30" s="162">
        <v>25</v>
      </c>
      <c r="E30" s="162">
        <v>65</v>
      </c>
      <c r="F30" s="162">
        <v>70</v>
      </c>
      <c r="G30" s="223" t="str">
        <f t="shared" si="5"/>
        <v>Big</v>
      </c>
      <c r="H30" s="42">
        <f t="shared" si="0"/>
        <v>3.3640696017939766</v>
      </c>
      <c r="I30" s="42">
        <f t="shared" si="17"/>
        <v>0.7732688116788704</v>
      </c>
      <c r="J30" s="56">
        <f t="shared" si="7"/>
        <v>5.2168539508804237</v>
      </c>
      <c r="K30" s="56">
        <f t="shared" si="8"/>
        <v>4.9652777777777786</v>
      </c>
      <c r="L30" s="56">
        <f t="shared" si="9"/>
        <v>5.2168539508804237</v>
      </c>
      <c r="M30" s="57">
        <f t="shared" si="10"/>
        <v>3</v>
      </c>
      <c r="N30" s="60" t="s">
        <v>5</v>
      </c>
      <c r="O30" s="221">
        <v>16</v>
      </c>
      <c r="P30" s="30">
        <f t="shared" si="11"/>
        <v>0.75</v>
      </c>
      <c r="Q30" s="30" t="b">
        <f t="shared" si="12"/>
        <v>1</v>
      </c>
      <c r="R30" s="30">
        <f t="shared" si="13"/>
        <v>-1</v>
      </c>
      <c r="S30" s="30">
        <f t="shared" si="1"/>
        <v>1.05</v>
      </c>
      <c r="T30" s="30">
        <f t="shared" si="2"/>
        <v>21</v>
      </c>
      <c r="U30" s="30">
        <v>0.82599999999999996</v>
      </c>
      <c r="V30" s="39">
        <f t="shared" si="14"/>
        <v>0.7732688116788704</v>
      </c>
      <c r="W30" s="30">
        <f t="shared" si="3"/>
        <v>4.9652777777777786</v>
      </c>
      <c r="X30" s="30">
        <f t="shared" si="15"/>
        <v>6.9384157546709639</v>
      </c>
      <c r="Y30" s="30">
        <f t="shared" si="16"/>
        <v>4.9652777777777786</v>
      </c>
      <c r="Z30" s="30">
        <f t="shared" si="4"/>
        <v>2.4375</v>
      </c>
    </row>
    <row r="31" spans="1:26" ht="15" customHeight="1" x14ac:dyDescent="0.2">
      <c r="A31" s="161">
        <v>19</v>
      </c>
      <c r="B31" s="162">
        <v>15</v>
      </c>
      <c r="C31" s="162">
        <v>-20</v>
      </c>
      <c r="D31" s="162">
        <v>25</v>
      </c>
      <c r="E31" s="162">
        <v>65</v>
      </c>
      <c r="F31" s="162">
        <v>70</v>
      </c>
      <c r="G31" s="223" t="str">
        <f t="shared" si="5"/>
        <v>Big</v>
      </c>
      <c r="H31" s="42">
        <f t="shared" si="0"/>
        <v>3.3640696017939766</v>
      </c>
      <c r="I31" s="42">
        <f t="shared" si="17"/>
        <v>0.7732688116788704</v>
      </c>
      <c r="J31" s="56">
        <f t="shared" si="7"/>
        <v>5.2168539508804237</v>
      </c>
      <c r="K31" s="56">
        <f t="shared" si="8"/>
        <v>4.9652777777777786</v>
      </c>
      <c r="L31" s="56">
        <f t="shared" si="9"/>
        <v>5.2168539508804237</v>
      </c>
      <c r="M31" s="57">
        <f t="shared" si="10"/>
        <v>3</v>
      </c>
      <c r="N31" s="60" t="s">
        <v>5</v>
      </c>
      <c r="O31" s="221">
        <v>16</v>
      </c>
      <c r="P31" s="30">
        <f t="shared" si="11"/>
        <v>0.75</v>
      </c>
      <c r="Q31" s="30" t="b">
        <f t="shared" si="12"/>
        <v>1</v>
      </c>
      <c r="R31" s="30">
        <f t="shared" si="13"/>
        <v>-1</v>
      </c>
      <c r="S31" s="30">
        <f t="shared" si="1"/>
        <v>1.05</v>
      </c>
      <c r="T31" s="30">
        <f t="shared" si="2"/>
        <v>21</v>
      </c>
      <c r="U31" s="30">
        <v>0.82599999999999996</v>
      </c>
      <c r="V31" s="39">
        <f t="shared" si="14"/>
        <v>0.7732688116788704</v>
      </c>
      <c r="W31" s="30">
        <f t="shared" si="3"/>
        <v>4.9652777777777786</v>
      </c>
      <c r="X31" s="30">
        <f t="shared" si="15"/>
        <v>6.9384157546709639</v>
      </c>
      <c r="Y31" s="30">
        <f t="shared" si="16"/>
        <v>4.9652777777777786</v>
      </c>
      <c r="Z31" s="30">
        <f t="shared" si="4"/>
        <v>2.4375</v>
      </c>
    </row>
    <row r="32" spans="1:26" ht="15" customHeight="1" x14ac:dyDescent="0.2">
      <c r="A32" s="161">
        <v>20</v>
      </c>
      <c r="B32" s="162">
        <v>15</v>
      </c>
      <c r="C32" s="162">
        <v>-20</v>
      </c>
      <c r="D32" s="162">
        <v>25</v>
      </c>
      <c r="E32" s="162">
        <v>65</v>
      </c>
      <c r="F32" s="162">
        <v>70</v>
      </c>
      <c r="G32" s="223" t="str">
        <f t="shared" si="5"/>
        <v>Big</v>
      </c>
      <c r="H32" s="42">
        <f t="shared" si="0"/>
        <v>3.3640696017939766</v>
      </c>
      <c r="I32" s="42">
        <f t="shared" si="17"/>
        <v>0.7732688116788704</v>
      </c>
      <c r="J32" s="56">
        <f t="shared" si="7"/>
        <v>5.2168539508804237</v>
      </c>
      <c r="K32" s="56">
        <f t="shared" si="8"/>
        <v>4.9652777777777786</v>
      </c>
      <c r="L32" s="56">
        <f t="shared" si="9"/>
        <v>5.2168539508804237</v>
      </c>
      <c r="M32" s="57">
        <f t="shared" si="10"/>
        <v>3</v>
      </c>
      <c r="N32" s="60" t="s">
        <v>5</v>
      </c>
      <c r="O32" s="221">
        <v>16</v>
      </c>
      <c r="P32" s="30">
        <f t="shared" si="11"/>
        <v>0.75</v>
      </c>
      <c r="Q32" s="30" t="b">
        <f t="shared" si="12"/>
        <v>1</v>
      </c>
      <c r="R32" s="30">
        <f t="shared" si="13"/>
        <v>-1</v>
      </c>
      <c r="S32" s="30">
        <f t="shared" si="1"/>
        <v>1.05</v>
      </c>
      <c r="T32" s="30">
        <f t="shared" si="2"/>
        <v>21</v>
      </c>
      <c r="U32" s="30">
        <v>0.82599999999999996</v>
      </c>
      <c r="V32" s="39">
        <f t="shared" si="14"/>
        <v>0.7732688116788704</v>
      </c>
      <c r="W32" s="30">
        <f t="shared" si="3"/>
        <v>4.9652777777777786</v>
      </c>
      <c r="X32" s="30">
        <f t="shared" si="15"/>
        <v>6.9384157546709639</v>
      </c>
      <c r="Y32" s="30">
        <f t="shared" si="16"/>
        <v>4.9652777777777786</v>
      </c>
      <c r="Z32" s="30">
        <f t="shared" si="4"/>
        <v>2.4375</v>
      </c>
    </row>
    <row r="33" spans="1:26" ht="15" customHeight="1" x14ac:dyDescent="0.2">
      <c r="A33" s="161">
        <v>21</v>
      </c>
      <c r="B33" s="162">
        <v>15</v>
      </c>
      <c r="C33" s="162">
        <v>-20</v>
      </c>
      <c r="D33" s="162">
        <v>25</v>
      </c>
      <c r="E33" s="162">
        <v>65</v>
      </c>
      <c r="F33" s="162">
        <v>70</v>
      </c>
      <c r="G33" s="223" t="str">
        <f t="shared" si="5"/>
        <v>Big</v>
      </c>
      <c r="H33" s="42">
        <f t="shared" si="0"/>
        <v>3.3640696017939766</v>
      </c>
      <c r="I33" s="42">
        <f t="shared" si="17"/>
        <v>0.7732688116788704</v>
      </c>
      <c r="J33" s="56">
        <f t="shared" si="7"/>
        <v>5.2168539508804237</v>
      </c>
      <c r="K33" s="56">
        <f t="shared" si="8"/>
        <v>4.9652777777777786</v>
      </c>
      <c r="L33" s="56">
        <f t="shared" si="9"/>
        <v>5.2168539508804237</v>
      </c>
      <c r="M33" s="57">
        <f t="shared" si="10"/>
        <v>3</v>
      </c>
      <c r="N33" s="60" t="s">
        <v>5</v>
      </c>
      <c r="O33" s="221">
        <v>16</v>
      </c>
      <c r="P33" s="30">
        <f t="shared" si="11"/>
        <v>0.75</v>
      </c>
      <c r="Q33" s="30" t="b">
        <f t="shared" si="12"/>
        <v>1</v>
      </c>
      <c r="R33" s="30">
        <f t="shared" si="13"/>
        <v>-1</v>
      </c>
      <c r="S33" s="30">
        <f t="shared" si="1"/>
        <v>1.05</v>
      </c>
      <c r="T33" s="30">
        <f t="shared" si="2"/>
        <v>21</v>
      </c>
      <c r="U33" s="30">
        <v>0.82599999999999996</v>
      </c>
      <c r="V33" s="39">
        <f t="shared" si="14"/>
        <v>0.7732688116788704</v>
      </c>
      <c r="W33" s="30">
        <f t="shared" si="3"/>
        <v>4.9652777777777786</v>
      </c>
      <c r="X33" s="30">
        <f t="shared" si="15"/>
        <v>6.9384157546709639</v>
      </c>
      <c r="Y33" s="30">
        <f t="shared" si="16"/>
        <v>4.9652777777777786</v>
      </c>
      <c r="Z33" s="30">
        <f t="shared" si="4"/>
        <v>2.4375</v>
      </c>
    </row>
    <row r="34" spans="1:26" ht="15" customHeight="1" x14ac:dyDescent="0.2">
      <c r="A34" s="161">
        <v>22</v>
      </c>
      <c r="B34" s="162">
        <v>15</v>
      </c>
      <c r="C34" s="162">
        <v>-20</v>
      </c>
      <c r="D34" s="162">
        <v>25</v>
      </c>
      <c r="E34" s="162">
        <v>65</v>
      </c>
      <c r="F34" s="162">
        <v>70</v>
      </c>
      <c r="G34" s="223" t="str">
        <f t="shared" si="5"/>
        <v>Big</v>
      </c>
      <c r="H34" s="42">
        <f t="shared" si="0"/>
        <v>3.3640696017939766</v>
      </c>
      <c r="I34" s="42">
        <f t="shared" si="17"/>
        <v>0.7732688116788704</v>
      </c>
      <c r="J34" s="56">
        <f t="shared" si="7"/>
        <v>5.2168539508804237</v>
      </c>
      <c r="K34" s="56">
        <f t="shared" si="8"/>
        <v>4.9652777777777786</v>
      </c>
      <c r="L34" s="56">
        <f t="shared" si="9"/>
        <v>5.2168539508804237</v>
      </c>
      <c r="M34" s="57">
        <f t="shared" si="10"/>
        <v>3</v>
      </c>
      <c r="N34" s="60" t="s">
        <v>5</v>
      </c>
      <c r="O34" s="221">
        <v>16</v>
      </c>
      <c r="P34" s="30">
        <f t="shared" si="11"/>
        <v>0.75</v>
      </c>
      <c r="Q34" s="30" t="b">
        <f t="shared" si="12"/>
        <v>1</v>
      </c>
      <c r="R34" s="30">
        <f t="shared" si="13"/>
        <v>-1</v>
      </c>
      <c r="S34" s="30">
        <f t="shared" si="1"/>
        <v>1.05</v>
      </c>
      <c r="T34" s="30">
        <f t="shared" si="2"/>
        <v>21</v>
      </c>
      <c r="U34" s="30">
        <v>0.82599999999999996</v>
      </c>
      <c r="V34" s="39">
        <f t="shared" si="14"/>
        <v>0.7732688116788704</v>
      </c>
      <c r="W34" s="30">
        <f t="shared" si="3"/>
        <v>4.9652777777777786</v>
      </c>
      <c r="X34" s="30">
        <f t="shared" si="15"/>
        <v>6.9384157546709639</v>
      </c>
      <c r="Y34" s="30">
        <f t="shared" si="16"/>
        <v>4.9652777777777786</v>
      </c>
      <c r="Z34" s="30">
        <f t="shared" si="4"/>
        <v>2.4375</v>
      </c>
    </row>
    <row r="35" spans="1:26" ht="15" customHeight="1" x14ac:dyDescent="0.2">
      <c r="A35" s="161">
        <v>23</v>
      </c>
      <c r="B35" s="162">
        <v>15</v>
      </c>
      <c r="C35" s="162">
        <v>-20</v>
      </c>
      <c r="D35" s="162">
        <v>25</v>
      </c>
      <c r="E35" s="162">
        <v>65</v>
      </c>
      <c r="F35" s="162">
        <v>70</v>
      </c>
      <c r="G35" s="223" t="str">
        <f t="shared" si="5"/>
        <v>Big</v>
      </c>
      <c r="H35" s="42">
        <f t="shared" si="0"/>
        <v>3.3640696017939766</v>
      </c>
      <c r="I35" s="42">
        <f t="shared" si="17"/>
        <v>0.7732688116788704</v>
      </c>
      <c r="J35" s="56">
        <f t="shared" si="7"/>
        <v>5.2168539508804237</v>
      </c>
      <c r="K35" s="56">
        <f t="shared" si="8"/>
        <v>4.9652777777777786</v>
      </c>
      <c r="L35" s="56">
        <f t="shared" si="9"/>
        <v>5.2168539508804237</v>
      </c>
      <c r="M35" s="57">
        <f t="shared" si="10"/>
        <v>3</v>
      </c>
      <c r="N35" s="60" t="s">
        <v>5</v>
      </c>
      <c r="O35" s="221">
        <v>16</v>
      </c>
      <c r="P35" s="30">
        <f t="shared" si="11"/>
        <v>0.75</v>
      </c>
      <c r="Q35" s="30" t="b">
        <f t="shared" si="12"/>
        <v>1</v>
      </c>
      <c r="R35" s="30">
        <f t="shared" si="13"/>
        <v>-1</v>
      </c>
      <c r="S35" s="30">
        <f t="shared" si="1"/>
        <v>1.05</v>
      </c>
      <c r="T35" s="30">
        <f t="shared" si="2"/>
        <v>21</v>
      </c>
      <c r="U35" s="30">
        <v>0.82599999999999996</v>
      </c>
      <c r="V35" s="39">
        <f t="shared" si="14"/>
        <v>0.7732688116788704</v>
      </c>
      <c r="W35" s="30">
        <f t="shared" si="3"/>
        <v>4.9652777777777786</v>
      </c>
      <c r="X35" s="30">
        <f t="shared" si="15"/>
        <v>6.9384157546709639</v>
      </c>
      <c r="Y35" s="30">
        <f t="shared" si="16"/>
        <v>4.9652777777777786</v>
      </c>
      <c r="Z35" s="30">
        <f t="shared" si="4"/>
        <v>2.4375</v>
      </c>
    </row>
    <row r="36" spans="1:26" ht="15" customHeight="1" x14ac:dyDescent="0.2">
      <c r="A36" s="161">
        <v>24</v>
      </c>
      <c r="B36" s="162">
        <v>15</v>
      </c>
      <c r="C36" s="162">
        <v>-20</v>
      </c>
      <c r="D36" s="162">
        <v>25</v>
      </c>
      <c r="E36" s="162">
        <v>65</v>
      </c>
      <c r="F36" s="162">
        <v>70</v>
      </c>
      <c r="G36" s="223" t="str">
        <f t="shared" si="5"/>
        <v>Big</v>
      </c>
      <c r="H36" s="42">
        <f t="shared" si="0"/>
        <v>3.3640696017939766</v>
      </c>
      <c r="I36" s="42">
        <f t="shared" si="17"/>
        <v>0.7732688116788704</v>
      </c>
      <c r="J36" s="56">
        <f t="shared" si="7"/>
        <v>5.2168539508804237</v>
      </c>
      <c r="K36" s="56">
        <f t="shared" si="8"/>
        <v>4.9652777777777786</v>
      </c>
      <c r="L36" s="56">
        <f t="shared" si="9"/>
        <v>5.2168539508804237</v>
      </c>
      <c r="M36" s="57">
        <f t="shared" si="10"/>
        <v>3</v>
      </c>
      <c r="N36" s="60" t="s">
        <v>5</v>
      </c>
      <c r="O36" s="221">
        <v>16</v>
      </c>
      <c r="P36" s="30">
        <f t="shared" si="11"/>
        <v>0.75</v>
      </c>
      <c r="Q36" s="30" t="b">
        <f t="shared" si="12"/>
        <v>1</v>
      </c>
      <c r="R36" s="30">
        <f t="shared" si="13"/>
        <v>-1</v>
      </c>
      <c r="S36" s="30">
        <f t="shared" si="1"/>
        <v>1.05</v>
      </c>
      <c r="T36" s="30">
        <f t="shared" si="2"/>
        <v>21</v>
      </c>
      <c r="U36" s="30">
        <v>0.82599999999999996</v>
      </c>
      <c r="V36" s="39">
        <f t="shared" si="14"/>
        <v>0.7732688116788704</v>
      </c>
      <c r="W36" s="30">
        <f t="shared" si="3"/>
        <v>4.9652777777777786</v>
      </c>
      <c r="X36" s="30">
        <f t="shared" si="15"/>
        <v>6.9384157546709639</v>
      </c>
      <c r="Y36" s="30">
        <f t="shared" si="16"/>
        <v>4.9652777777777786</v>
      </c>
      <c r="Z36" s="30">
        <f t="shared" si="4"/>
        <v>2.4375</v>
      </c>
    </row>
    <row r="37" spans="1:26" ht="15" customHeight="1" x14ac:dyDescent="0.2">
      <c r="A37" s="161">
        <v>25</v>
      </c>
      <c r="B37" s="162">
        <v>15</v>
      </c>
      <c r="C37" s="162">
        <v>-20</v>
      </c>
      <c r="D37" s="162">
        <v>25</v>
      </c>
      <c r="E37" s="162">
        <v>65</v>
      </c>
      <c r="F37" s="162">
        <v>70</v>
      </c>
      <c r="G37" s="223" t="str">
        <f t="shared" si="5"/>
        <v>Big</v>
      </c>
      <c r="H37" s="42">
        <f t="shared" si="0"/>
        <v>3.3640696017939766</v>
      </c>
      <c r="I37" s="42">
        <f t="shared" si="17"/>
        <v>0.7732688116788704</v>
      </c>
      <c r="J37" s="56">
        <f t="shared" si="7"/>
        <v>5.2168539508804237</v>
      </c>
      <c r="K37" s="56">
        <f t="shared" si="8"/>
        <v>4.9652777777777786</v>
      </c>
      <c r="L37" s="56">
        <f t="shared" si="9"/>
        <v>5.2168539508804237</v>
      </c>
      <c r="M37" s="57">
        <f t="shared" si="10"/>
        <v>3</v>
      </c>
      <c r="N37" s="60" t="s">
        <v>5</v>
      </c>
      <c r="O37" s="221">
        <v>16</v>
      </c>
      <c r="P37" s="30">
        <f t="shared" si="11"/>
        <v>0.75</v>
      </c>
      <c r="Q37" s="30" t="b">
        <f t="shared" si="12"/>
        <v>1</v>
      </c>
      <c r="R37" s="30">
        <f t="shared" si="13"/>
        <v>-1</v>
      </c>
      <c r="S37" s="30">
        <f t="shared" si="1"/>
        <v>1.05</v>
      </c>
      <c r="T37" s="30">
        <f t="shared" si="2"/>
        <v>21</v>
      </c>
      <c r="U37" s="30">
        <v>0.82599999999999996</v>
      </c>
      <c r="V37" s="39">
        <f t="shared" si="14"/>
        <v>0.7732688116788704</v>
      </c>
      <c r="W37" s="30">
        <f t="shared" si="3"/>
        <v>4.9652777777777786</v>
      </c>
      <c r="X37" s="30">
        <f t="shared" si="15"/>
        <v>6.9384157546709639</v>
      </c>
      <c r="Y37" s="30">
        <f t="shared" si="16"/>
        <v>4.9652777777777786</v>
      </c>
      <c r="Z37" s="30">
        <f t="shared" si="4"/>
        <v>2.4375</v>
      </c>
    </row>
    <row r="38" spans="1:26" ht="15" customHeight="1" x14ac:dyDescent="0.2">
      <c r="A38" s="161">
        <v>26</v>
      </c>
      <c r="B38" s="162">
        <v>15</v>
      </c>
      <c r="C38" s="162">
        <v>-20</v>
      </c>
      <c r="D38" s="162">
        <v>25</v>
      </c>
      <c r="E38" s="162">
        <v>65</v>
      </c>
      <c r="F38" s="162">
        <v>70</v>
      </c>
      <c r="G38" s="223" t="str">
        <f t="shared" si="5"/>
        <v>Big</v>
      </c>
      <c r="H38" s="42">
        <f t="shared" si="0"/>
        <v>3.3640696017939766</v>
      </c>
      <c r="I38" s="42">
        <f t="shared" si="17"/>
        <v>0.7732688116788704</v>
      </c>
      <c r="J38" s="56">
        <f t="shared" si="7"/>
        <v>5.2168539508804237</v>
      </c>
      <c r="K38" s="56">
        <f t="shared" si="8"/>
        <v>4.9652777777777786</v>
      </c>
      <c r="L38" s="56">
        <f t="shared" si="9"/>
        <v>5.2168539508804237</v>
      </c>
      <c r="M38" s="57">
        <f t="shared" si="10"/>
        <v>3</v>
      </c>
      <c r="N38" s="60" t="s">
        <v>5</v>
      </c>
      <c r="O38" s="221">
        <v>16</v>
      </c>
      <c r="P38" s="30">
        <f t="shared" si="11"/>
        <v>0.75</v>
      </c>
      <c r="Q38" s="30" t="b">
        <f t="shared" si="12"/>
        <v>1</v>
      </c>
      <c r="R38" s="30">
        <f t="shared" si="13"/>
        <v>-1</v>
      </c>
      <c r="S38" s="30">
        <f t="shared" si="1"/>
        <v>1.05</v>
      </c>
      <c r="T38" s="30">
        <f t="shared" si="2"/>
        <v>21</v>
      </c>
      <c r="U38" s="30">
        <v>0.82599999999999996</v>
      </c>
      <c r="V38" s="39">
        <f t="shared" si="14"/>
        <v>0.7732688116788704</v>
      </c>
      <c r="W38" s="30">
        <f t="shared" si="3"/>
        <v>4.9652777777777786</v>
      </c>
      <c r="X38" s="30">
        <f t="shared" si="15"/>
        <v>6.9384157546709639</v>
      </c>
      <c r="Y38" s="30">
        <f t="shared" si="16"/>
        <v>4.9652777777777786</v>
      </c>
      <c r="Z38" s="30">
        <f t="shared" si="4"/>
        <v>2.4375</v>
      </c>
    </row>
    <row r="39" spans="1:26" ht="15" customHeight="1" x14ac:dyDescent="0.2">
      <c r="A39" s="161">
        <v>27</v>
      </c>
      <c r="B39" s="162">
        <v>15</v>
      </c>
      <c r="C39" s="162">
        <v>-20</v>
      </c>
      <c r="D39" s="162">
        <v>25</v>
      </c>
      <c r="E39" s="162">
        <v>65</v>
      </c>
      <c r="F39" s="162">
        <v>70</v>
      </c>
      <c r="G39" s="223" t="str">
        <f t="shared" si="5"/>
        <v>Big</v>
      </c>
      <c r="H39" s="42">
        <f t="shared" si="0"/>
        <v>3.3640696017939766</v>
      </c>
      <c r="I39" s="42">
        <f t="shared" si="17"/>
        <v>0.7732688116788704</v>
      </c>
      <c r="J39" s="56">
        <f t="shared" si="7"/>
        <v>5.2168539508804237</v>
      </c>
      <c r="K39" s="56">
        <f t="shared" si="8"/>
        <v>4.9652777777777786</v>
      </c>
      <c r="L39" s="56">
        <f t="shared" si="9"/>
        <v>5.2168539508804237</v>
      </c>
      <c r="M39" s="57">
        <f t="shared" si="10"/>
        <v>3</v>
      </c>
      <c r="N39" s="60" t="s">
        <v>5</v>
      </c>
      <c r="O39" s="221">
        <v>16</v>
      </c>
      <c r="P39" s="30">
        <f t="shared" si="11"/>
        <v>0.75</v>
      </c>
      <c r="Q39" s="30" t="b">
        <f t="shared" si="12"/>
        <v>1</v>
      </c>
      <c r="R39" s="30">
        <f t="shared" si="13"/>
        <v>-1</v>
      </c>
      <c r="S39" s="30">
        <f t="shared" si="1"/>
        <v>1.05</v>
      </c>
      <c r="T39" s="30">
        <f t="shared" si="2"/>
        <v>21</v>
      </c>
      <c r="U39" s="30">
        <v>0.82599999999999996</v>
      </c>
      <c r="V39" s="39">
        <f t="shared" si="14"/>
        <v>0.7732688116788704</v>
      </c>
      <c r="W39" s="30">
        <f t="shared" si="3"/>
        <v>4.9652777777777786</v>
      </c>
      <c r="X39" s="30">
        <f t="shared" si="15"/>
        <v>6.9384157546709639</v>
      </c>
      <c r="Y39" s="30">
        <f t="shared" si="16"/>
        <v>4.9652777777777786</v>
      </c>
      <c r="Z39" s="30">
        <f t="shared" si="4"/>
        <v>2.4375</v>
      </c>
    </row>
    <row r="40" spans="1:26" ht="15" customHeight="1" x14ac:dyDescent="0.2">
      <c r="A40" s="161">
        <v>28</v>
      </c>
      <c r="B40" s="162">
        <v>15</v>
      </c>
      <c r="C40" s="162">
        <v>-20</v>
      </c>
      <c r="D40" s="162">
        <v>25</v>
      </c>
      <c r="E40" s="162">
        <v>65</v>
      </c>
      <c r="F40" s="162">
        <v>70</v>
      </c>
      <c r="G40" s="223" t="str">
        <f t="shared" si="5"/>
        <v>Big</v>
      </c>
      <c r="H40" s="42">
        <f t="shared" si="0"/>
        <v>3.3640696017939766</v>
      </c>
      <c r="I40" s="42">
        <f t="shared" si="17"/>
        <v>0.7732688116788704</v>
      </c>
      <c r="J40" s="56">
        <f t="shared" si="7"/>
        <v>5.2168539508804237</v>
      </c>
      <c r="K40" s="56">
        <f t="shared" si="8"/>
        <v>4.9652777777777786</v>
      </c>
      <c r="L40" s="56">
        <f t="shared" si="9"/>
        <v>5.2168539508804237</v>
      </c>
      <c r="M40" s="57">
        <f t="shared" si="10"/>
        <v>3</v>
      </c>
      <c r="N40" s="60" t="s">
        <v>5</v>
      </c>
      <c r="O40" s="221">
        <v>16</v>
      </c>
      <c r="P40" s="30">
        <f t="shared" si="11"/>
        <v>0.75</v>
      </c>
      <c r="Q40" s="30" t="b">
        <f t="shared" si="12"/>
        <v>1</v>
      </c>
      <c r="R40" s="30">
        <f t="shared" si="13"/>
        <v>-1</v>
      </c>
      <c r="S40" s="30">
        <f t="shared" si="1"/>
        <v>1.05</v>
      </c>
      <c r="T40" s="30">
        <f t="shared" si="2"/>
        <v>21</v>
      </c>
      <c r="U40" s="30">
        <v>0.82599999999999996</v>
      </c>
      <c r="V40" s="39">
        <f t="shared" si="14"/>
        <v>0.7732688116788704</v>
      </c>
      <c r="W40" s="30">
        <f t="shared" si="3"/>
        <v>4.9652777777777786</v>
      </c>
      <c r="X40" s="30">
        <f t="shared" si="15"/>
        <v>6.9384157546709639</v>
      </c>
      <c r="Y40" s="30">
        <f t="shared" si="16"/>
        <v>4.9652777777777786</v>
      </c>
      <c r="Z40" s="30">
        <f t="shared" si="4"/>
        <v>2.4375</v>
      </c>
    </row>
    <row r="41" spans="1:26" ht="15" customHeight="1" x14ac:dyDescent="0.2">
      <c r="A41" s="161">
        <v>29</v>
      </c>
      <c r="B41" s="162">
        <v>15</v>
      </c>
      <c r="C41" s="162">
        <v>-20</v>
      </c>
      <c r="D41" s="162">
        <v>25</v>
      </c>
      <c r="E41" s="162">
        <v>65</v>
      </c>
      <c r="F41" s="162">
        <v>70</v>
      </c>
      <c r="G41" s="223" t="str">
        <f t="shared" si="5"/>
        <v>Big</v>
      </c>
      <c r="H41" s="42">
        <f t="shared" si="0"/>
        <v>3.3640696017939766</v>
      </c>
      <c r="I41" s="42">
        <f t="shared" si="17"/>
        <v>0.7732688116788704</v>
      </c>
      <c r="J41" s="56">
        <f t="shared" si="7"/>
        <v>5.2168539508804237</v>
      </c>
      <c r="K41" s="56">
        <f t="shared" si="8"/>
        <v>4.9652777777777786</v>
      </c>
      <c r="L41" s="56">
        <f t="shared" si="9"/>
        <v>5.2168539508804237</v>
      </c>
      <c r="M41" s="57">
        <f t="shared" si="10"/>
        <v>3</v>
      </c>
      <c r="N41" s="60" t="s">
        <v>5</v>
      </c>
      <c r="O41" s="221">
        <v>16</v>
      </c>
      <c r="P41" s="30">
        <f t="shared" si="11"/>
        <v>0.75</v>
      </c>
      <c r="Q41" s="30" t="b">
        <f t="shared" si="12"/>
        <v>1</v>
      </c>
      <c r="R41" s="30">
        <f t="shared" si="13"/>
        <v>-1</v>
      </c>
      <c r="S41" s="30">
        <f t="shared" si="1"/>
        <v>1.05</v>
      </c>
      <c r="T41" s="30">
        <f t="shared" si="2"/>
        <v>21</v>
      </c>
      <c r="U41" s="30">
        <v>0.82599999999999996</v>
      </c>
      <c r="V41" s="39">
        <f t="shared" si="14"/>
        <v>0.7732688116788704</v>
      </c>
      <c r="W41" s="30">
        <f t="shared" si="3"/>
        <v>4.9652777777777786</v>
      </c>
      <c r="X41" s="30">
        <f t="shared" si="15"/>
        <v>6.9384157546709639</v>
      </c>
      <c r="Y41" s="30">
        <f t="shared" si="16"/>
        <v>4.9652777777777786</v>
      </c>
      <c r="Z41" s="30">
        <f t="shared" si="4"/>
        <v>2.4375</v>
      </c>
    </row>
    <row r="42" spans="1:26" ht="15" customHeight="1" x14ac:dyDescent="0.2">
      <c r="A42" s="161">
        <v>30</v>
      </c>
      <c r="B42" s="162">
        <v>15</v>
      </c>
      <c r="C42" s="162">
        <v>-20</v>
      </c>
      <c r="D42" s="162">
        <v>25</v>
      </c>
      <c r="E42" s="162">
        <v>65</v>
      </c>
      <c r="F42" s="162">
        <v>70</v>
      </c>
      <c r="G42" s="223" t="str">
        <f t="shared" si="5"/>
        <v>Big</v>
      </c>
      <c r="H42" s="42">
        <f t="shared" si="0"/>
        <v>3.3640696017939766</v>
      </c>
      <c r="I42" s="42">
        <f t="shared" si="17"/>
        <v>0.7732688116788704</v>
      </c>
      <c r="J42" s="56">
        <f t="shared" si="7"/>
        <v>5.2168539508804237</v>
      </c>
      <c r="K42" s="56">
        <f t="shared" si="8"/>
        <v>4.9652777777777786</v>
      </c>
      <c r="L42" s="56">
        <f t="shared" si="9"/>
        <v>5.2168539508804237</v>
      </c>
      <c r="M42" s="57">
        <f t="shared" si="10"/>
        <v>3</v>
      </c>
      <c r="N42" s="60" t="s">
        <v>5</v>
      </c>
      <c r="O42" s="221">
        <v>16</v>
      </c>
      <c r="P42" s="30">
        <f t="shared" si="11"/>
        <v>0.75</v>
      </c>
      <c r="Q42" s="30" t="b">
        <f t="shared" si="12"/>
        <v>1</v>
      </c>
      <c r="R42" s="30">
        <f t="shared" si="13"/>
        <v>-1</v>
      </c>
      <c r="S42" s="30">
        <f t="shared" si="1"/>
        <v>1.05</v>
      </c>
      <c r="T42" s="30">
        <f t="shared" si="2"/>
        <v>21</v>
      </c>
      <c r="U42" s="30">
        <v>0.82599999999999996</v>
      </c>
      <c r="V42" s="39">
        <f t="shared" si="14"/>
        <v>0.7732688116788704</v>
      </c>
      <c r="W42" s="30">
        <f t="shared" si="3"/>
        <v>4.9652777777777786</v>
      </c>
      <c r="X42" s="30">
        <f t="shared" si="15"/>
        <v>6.9384157546709639</v>
      </c>
      <c r="Y42" s="30">
        <f t="shared" si="16"/>
        <v>4.9652777777777786</v>
      </c>
      <c r="Z42" s="30">
        <f t="shared" si="4"/>
        <v>2.4375</v>
      </c>
    </row>
    <row r="43" spans="1:26" ht="15" customHeight="1" x14ac:dyDescent="0.2">
      <c r="A43" s="161">
        <v>31</v>
      </c>
      <c r="B43" s="162">
        <v>15</v>
      </c>
      <c r="C43" s="162">
        <v>-20</v>
      </c>
      <c r="D43" s="162">
        <v>25</v>
      </c>
      <c r="E43" s="162">
        <v>65</v>
      </c>
      <c r="F43" s="162">
        <v>70</v>
      </c>
      <c r="G43" s="223" t="str">
        <f t="shared" si="5"/>
        <v>Big</v>
      </c>
      <c r="H43" s="42">
        <f t="shared" si="0"/>
        <v>3.3640696017939766</v>
      </c>
      <c r="I43" s="42">
        <f t="shared" si="17"/>
        <v>0.7732688116788704</v>
      </c>
      <c r="J43" s="56">
        <f t="shared" si="7"/>
        <v>5.2168539508804237</v>
      </c>
      <c r="K43" s="56">
        <f t="shared" si="8"/>
        <v>4.9652777777777786</v>
      </c>
      <c r="L43" s="56">
        <f t="shared" si="9"/>
        <v>5.2168539508804237</v>
      </c>
      <c r="M43" s="57">
        <f t="shared" si="10"/>
        <v>3</v>
      </c>
      <c r="N43" s="60" t="s">
        <v>5</v>
      </c>
      <c r="O43" s="221">
        <v>16</v>
      </c>
      <c r="P43" s="30">
        <f t="shared" si="11"/>
        <v>0.75</v>
      </c>
      <c r="Q43" s="30" t="b">
        <f t="shared" si="12"/>
        <v>1</v>
      </c>
      <c r="R43" s="30">
        <f t="shared" si="13"/>
        <v>-1</v>
      </c>
      <c r="S43" s="30">
        <f t="shared" si="1"/>
        <v>1.05</v>
      </c>
      <c r="T43" s="30">
        <f t="shared" si="2"/>
        <v>21</v>
      </c>
      <c r="U43" s="30">
        <v>0.82599999999999996</v>
      </c>
      <c r="V43" s="39">
        <f t="shared" si="14"/>
        <v>0.7732688116788704</v>
      </c>
      <c r="W43" s="30">
        <f t="shared" si="3"/>
        <v>4.9652777777777786</v>
      </c>
      <c r="X43" s="30">
        <f t="shared" si="15"/>
        <v>6.9384157546709639</v>
      </c>
      <c r="Y43" s="30">
        <f t="shared" si="16"/>
        <v>4.9652777777777786</v>
      </c>
      <c r="Z43" s="30">
        <f t="shared" si="4"/>
        <v>2.4375</v>
      </c>
    </row>
    <row r="44" spans="1:26" ht="15" customHeight="1" x14ac:dyDescent="0.2">
      <c r="A44" s="161">
        <v>32</v>
      </c>
      <c r="B44" s="162">
        <v>15</v>
      </c>
      <c r="C44" s="162">
        <v>-20</v>
      </c>
      <c r="D44" s="162">
        <v>25</v>
      </c>
      <c r="E44" s="162">
        <v>65</v>
      </c>
      <c r="F44" s="162">
        <v>70</v>
      </c>
      <c r="G44" s="223" t="str">
        <f t="shared" si="5"/>
        <v>Big</v>
      </c>
      <c r="H44" s="42">
        <f t="shared" si="0"/>
        <v>3.3640696017939766</v>
      </c>
      <c r="I44" s="42">
        <f t="shared" si="17"/>
        <v>0.7732688116788704</v>
      </c>
      <c r="J44" s="56">
        <f t="shared" si="7"/>
        <v>5.2168539508804237</v>
      </c>
      <c r="K44" s="56">
        <f t="shared" si="8"/>
        <v>4.9652777777777786</v>
      </c>
      <c r="L44" s="56">
        <f t="shared" si="9"/>
        <v>5.2168539508804237</v>
      </c>
      <c r="M44" s="57">
        <f t="shared" si="10"/>
        <v>3</v>
      </c>
      <c r="N44" s="60" t="s">
        <v>5</v>
      </c>
      <c r="O44" s="221">
        <v>16</v>
      </c>
      <c r="P44" s="30">
        <f t="shared" si="11"/>
        <v>0.75</v>
      </c>
      <c r="Q44" s="30" t="b">
        <f t="shared" si="12"/>
        <v>1</v>
      </c>
      <c r="R44" s="30">
        <f t="shared" si="13"/>
        <v>-1</v>
      </c>
      <c r="S44" s="30">
        <f t="shared" si="1"/>
        <v>1.05</v>
      </c>
      <c r="T44" s="30">
        <f t="shared" si="2"/>
        <v>21</v>
      </c>
      <c r="U44" s="30">
        <v>0.82599999999999996</v>
      </c>
      <c r="V44" s="39">
        <f t="shared" si="14"/>
        <v>0.7732688116788704</v>
      </c>
      <c r="W44" s="30">
        <f t="shared" si="3"/>
        <v>4.9652777777777786</v>
      </c>
      <c r="X44" s="30">
        <f t="shared" si="15"/>
        <v>6.9384157546709639</v>
      </c>
      <c r="Y44" s="30">
        <f t="shared" si="16"/>
        <v>4.9652777777777786</v>
      </c>
      <c r="Z44" s="30">
        <f t="shared" si="4"/>
        <v>2.4375</v>
      </c>
    </row>
    <row r="45" spans="1:26" ht="15" customHeight="1" x14ac:dyDescent="0.2">
      <c r="A45" s="161">
        <v>33</v>
      </c>
      <c r="B45" s="162">
        <v>15</v>
      </c>
      <c r="C45" s="162">
        <v>-20</v>
      </c>
      <c r="D45" s="162">
        <v>25</v>
      </c>
      <c r="E45" s="162">
        <v>65</v>
      </c>
      <c r="F45" s="162">
        <v>70</v>
      </c>
      <c r="G45" s="223" t="str">
        <f t="shared" si="5"/>
        <v>Big</v>
      </c>
      <c r="H45" s="42">
        <f t="shared" si="0"/>
        <v>3.3640696017939766</v>
      </c>
      <c r="I45" s="42">
        <f t="shared" si="17"/>
        <v>0.7732688116788704</v>
      </c>
      <c r="J45" s="56">
        <f t="shared" si="7"/>
        <v>5.2168539508804237</v>
      </c>
      <c r="K45" s="56">
        <f t="shared" si="8"/>
        <v>4.9652777777777786</v>
      </c>
      <c r="L45" s="56">
        <f t="shared" si="9"/>
        <v>5.2168539508804237</v>
      </c>
      <c r="M45" s="57">
        <f t="shared" si="10"/>
        <v>3</v>
      </c>
      <c r="N45" s="60" t="s">
        <v>5</v>
      </c>
      <c r="O45" s="221">
        <v>16</v>
      </c>
      <c r="P45" s="30">
        <f t="shared" si="11"/>
        <v>0.75</v>
      </c>
      <c r="Q45" s="30" t="b">
        <f t="shared" si="12"/>
        <v>1</v>
      </c>
      <c r="R45" s="30">
        <f t="shared" si="13"/>
        <v>-1</v>
      </c>
      <c r="S45" s="30">
        <f t="shared" si="1"/>
        <v>1.05</v>
      </c>
      <c r="T45" s="30">
        <f t="shared" si="2"/>
        <v>21</v>
      </c>
      <c r="U45" s="30">
        <v>0.82599999999999996</v>
      </c>
      <c r="V45" s="39">
        <f t="shared" si="14"/>
        <v>0.7732688116788704</v>
      </c>
      <c r="W45" s="30">
        <f t="shared" si="3"/>
        <v>4.9652777777777786</v>
      </c>
      <c r="X45" s="30">
        <f t="shared" si="15"/>
        <v>6.9384157546709639</v>
      </c>
      <c r="Y45" s="30">
        <f t="shared" si="16"/>
        <v>4.9652777777777786</v>
      </c>
      <c r="Z45" s="30">
        <f t="shared" si="4"/>
        <v>2.4375</v>
      </c>
    </row>
    <row r="46" spans="1:26" ht="15" customHeight="1" thickBot="1" x14ac:dyDescent="0.25">
      <c r="A46" s="163">
        <v>34</v>
      </c>
      <c r="B46" s="160">
        <v>15</v>
      </c>
      <c r="C46" s="160">
        <v>-20</v>
      </c>
      <c r="D46" s="160">
        <v>25</v>
      </c>
      <c r="E46" s="160">
        <v>65</v>
      </c>
      <c r="F46" s="160">
        <v>70</v>
      </c>
      <c r="G46" s="224" t="str">
        <f t="shared" si="5"/>
        <v>Big</v>
      </c>
      <c r="H46" s="37">
        <f t="shared" si="0"/>
        <v>3.3640696017939766</v>
      </c>
      <c r="I46" s="37">
        <f t="shared" si="17"/>
        <v>0.7732688116788704</v>
      </c>
      <c r="J46" s="62">
        <f t="shared" si="7"/>
        <v>5.2168539508804237</v>
      </c>
      <c r="K46" s="62">
        <f t="shared" si="8"/>
        <v>4.9652777777777786</v>
      </c>
      <c r="L46" s="62">
        <f t="shared" si="9"/>
        <v>5.2168539508804237</v>
      </c>
      <c r="M46" s="63">
        <f t="shared" si="10"/>
        <v>3</v>
      </c>
      <c r="N46" s="64" t="s">
        <v>5</v>
      </c>
      <c r="O46" s="222">
        <v>16</v>
      </c>
      <c r="P46" s="30">
        <f t="shared" si="11"/>
        <v>0.75</v>
      </c>
      <c r="Q46" s="30" t="b">
        <f t="shared" si="12"/>
        <v>1</v>
      </c>
      <c r="R46" s="30">
        <f t="shared" si="13"/>
        <v>-1</v>
      </c>
      <c r="S46" s="30">
        <f t="shared" si="1"/>
        <v>1.05</v>
      </c>
      <c r="T46" s="30">
        <f t="shared" si="2"/>
        <v>21</v>
      </c>
      <c r="U46" s="30">
        <v>0.82599999999999996</v>
      </c>
      <c r="V46" s="39">
        <f t="shared" si="14"/>
        <v>0.7732688116788704</v>
      </c>
      <c r="W46" s="30">
        <f t="shared" si="3"/>
        <v>4.9652777777777786</v>
      </c>
      <c r="X46" s="30">
        <f t="shared" si="15"/>
        <v>6.9384157546709639</v>
      </c>
      <c r="Y46" s="30">
        <f t="shared" si="16"/>
        <v>4.9652777777777786</v>
      </c>
      <c r="Z46" s="30">
        <f t="shared" si="4"/>
        <v>2.4375</v>
      </c>
    </row>
  </sheetData>
  <sheetProtection sheet="1" objects="1" scenarios="1"/>
  <mergeCells count="6">
    <mergeCell ref="C4:O4"/>
    <mergeCell ref="A11:A12"/>
    <mergeCell ref="G11:G12"/>
    <mergeCell ref="H11:H12"/>
    <mergeCell ref="I11:I12"/>
    <mergeCell ref="M11:O12"/>
  </mergeCells>
  <phoneticPr fontId="0" type="noConversion"/>
  <pageMargins left="0.75" right="0.75" top="1" bottom="1" header="0.5" footer="0.5"/>
  <pageSetup paperSize="9" orientation="portrait" r:id="rId1"/>
  <headerFooter alignWithMargins="0">
    <oddHeader>&amp;R&amp;"Arial,Bold Italic"&amp;9Concrete design using the ultimate limit design method.</oddHeader>
    <oddFooter>&amp;L&amp;"Arial,Bold Italic"&amp;9By: Eng. Mahmoud El-Kateb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6"/>
  <sheetViews>
    <sheetView workbookViewId="0">
      <selection activeCell="C4" sqref="C4:K4"/>
    </sheetView>
  </sheetViews>
  <sheetFormatPr defaultColWidth="9.140625" defaultRowHeight="12.75" x14ac:dyDescent="0.2"/>
  <cols>
    <col min="1" max="1" width="4.5703125" style="30" customWidth="1"/>
    <col min="2" max="2" width="15.85546875" style="30" customWidth="1"/>
    <col min="3" max="3" width="7.7109375" style="30" customWidth="1"/>
    <col min="4" max="4" width="7.42578125" style="30" customWidth="1"/>
    <col min="5" max="5" width="8.140625" style="38" customWidth="1"/>
    <col min="6" max="6" width="7.42578125" style="30" customWidth="1"/>
    <col min="7" max="7" width="6.85546875" style="30" customWidth="1"/>
    <col min="8" max="8" width="5" style="30" customWidth="1"/>
    <col min="9" max="9" width="4.140625" style="30" customWidth="1"/>
    <col min="10" max="10" width="5.28515625" style="38" customWidth="1"/>
    <col min="11" max="11" width="10.5703125" style="30" customWidth="1"/>
    <col min="12" max="13" width="9.140625" style="30" hidden="1" customWidth="1"/>
    <col min="14" max="14" width="9.140625" style="30"/>
    <col min="15" max="15" width="6.140625" style="30" customWidth="1"/>
    <col min="16" max="16384" width="9.140625" style="30"/>
  </cols>
  <sheetData>
    <row r="1" spans="1:256" ht="22.5" x14ac:dyDescent="0.3">
      <c r="A1" s="34" t="s">
        <v>40</v>
      </c>
    </row>
    <row r="2" spans="1:256" ht="12" customHeight="1" x14ac:dyDescent="0.3">
      <c r="A2" s="81"/>
    </row>
    <row r="4" spans="1:256" ht="18.75" x14ac:dyDescent="0.3">
      <c r="A4" s="36"/>
      <c r="B4" s="35" t="s">
        <v>33</v>
      </c>
      <c r="C4" s="270"/>
      <c r="D4" s="270"/>
      <c r="E4" s="270"/>
      <c r="F4" s="270"/>
      <c r="G4" s="270"/>
      <c r="H4" s="270"/>
      <c r="I4" s="270"/>
      <c r="J4" s="270"/>
      <c r="K4" s="270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  <c r="CY4" s="36"/>
      <c r="CZ4" s="36"/>
      <c r="DA4" s="36"/>
      <c r="DB4" s="36"/>
      <c r="DC4" s="36"/>
      <c r="DD4" s="36"/>
      <c r="DE4" s="36"/>
      <c r="DF4" s="36"/>
      <c r="DG4" s="36"/>
      <c r="DH4" s="36"/>
      <c r="DI4" s="36"/>
      <c r="DJ4" s="36"/>
      <c r="DK4" s="36"/>
      <c r="DL4" s="36"/>
      <c r="DM4" s="36"/>
      <c r="DN4" s="36"/>
      <c r="DO4" s="36"/>
      <c r="DP4" s="36"/>
      <c r="DQ4" s="36"/>
      <c r="DR4" s="36"/>
      <c r="DS4" s="36"/>
      <c r="DT4" s="36"/>
      <c r="DU4" s="36"/>
      <c r="DV4" s="36"/>
      <c r="DW4" s="36"/>
      <c r="DX4" s="36"/>
      <c r="DY4" s="36"/>
      <c r="DZ4" s="36"/>
      <c r="EA4" s="36"/>
      <c r="EB4" s="36"/>
      <c r="EC4" s="36"/>
      <c r="ED4" s="36"/>
      <c r="EE4" s="36"/>
      <c r="EF4" s="36"/>
      <c r="EG4" s="36"/>
      <c r="EH4" s="36"/>
      <c r="EI4" s="36"/>
      <c r="EJ4" s="36"/>
      <c r="EK4" s="36"/>
      <c r="EL4" s="36"/>
      <c r="EM4" s="36"/>
      <c r="EN4" s="36"/>
      <c r="EO4" s="36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  <c r="FH4" s="36"/>
      <c r="FI4" s="36"/>
      <c r="FJ4" s="36"/>
      <c r="FK4" s="36"/>
      <c r="FL4" s="36"/>
      <c r="FM4" s="36"/>
      <c r="FN4" s="36"/>
      <c r="FO4" s="36"/>
      <c r="FP4" s="36"/>
      <c r="FQ4" s="36"/>
      <c r="FR4" s="36"/>
      <c r="FS4" s="36"/>
      <c r="FT4" s="36"/>
      <c r="FU4" s="36"/>
      <c r="FV4" s="36"/>
      <c r="FW4" s="36"/>
      <c r="FX4" s="36"/>
      <c r="FY4" s="36"/>
      <c r="FZ4" s="36"/>
      <c r="GA4" s="36"/>
      <c r="GB4" s="36"/>
      <c r="GC4" s="36"/>
      <c r="GD4" s="36"/>
      <c r="GE4" s="36"/>
      <c r="GF4" s="36"/>
      <c r="GG4" s="36"/>
      <c r="GH4" s="36"/>
      <c r="GI4" s="36"/>
      <c r="GJ4" s="36"/>
      <c r="GK4" s="36"/>
      <c r="GL4" s="36"/>
      <c r="GM4" s="36"/>
      <c r="GN4" s="36"/>
      <c r="GO4" s="36"/>
      <c r="GP4" s="36"/>
      <c r="GQ4" s="36"/>
      <c r="GR4" s="36"/>
      <c r="GS4" s="36"/>
      <c r="GT4" s="36"/>
      <c r="GU4" s="36"/>
      <c r="GV4" s="36"/>
      <c r="GW4" s="36"/>
      <c r="GX4" s="36"/>
      <c r="GY4" s="36"/>
      <c r="GZ4" s="36"/>
      <c r="HA4" s="36"/>
      <c r="HB4" s="36"/>
      <c r="HC4" s="36"/>
      <c r="HD4" s="36"/>
      <c r="HE4" s="36"/>
      <c r="HF4" s="36"/>
      <c r="HG4" s="36"/>
      <c r="HH4" s="36"/>
      <c r="HI4" s="36"/>
      <c r="HJ4" s="36"/>
      <c r="HK4" s="36"/>
      <c r="HL4" s="36"/>
      <c r="HM4" s="36"/>
      <c r="HN4" s="36"/>
      <c r="HO4" s="36"/>
      <c r="HP4" s="36"/>
      <c r="HQ4" s="36"/>
      <c r="HR4" s="36"/>
      <c r="HS4" s="36"/>
      <c r="HT4" s="36"/>
      <c r="HU4" s="36"/>
      <c r="HV4" s="36"/>
      <c r="HW4" s="36"/>
      <c r="HX4" s="36"/>
      <c r="HY4" s="36"/>
      <c r="HZ4" s="36"/>
      <c r="IA4" s="36"/>
      <c r="IB4" s="36"/>
      <c r="IC4" s="36"/>
      <c r="ID4" s="36"/>
      <c r="IE4" s="36"/>
      <c r="IF4" s="36"/>
      <c r="IG4" s="36"/>
      <c r="IH4" s="36"/>
      <c r="II4" s="36"/>
      <c r="IJ4" s="36"/>
      <c r="IK4" s="36"/>
      <c r="IL4" s="36"/>
      <c r="IM4" s="36"/>
      <c r="IN4" s="36"/>
      <c r="IO4" s="36"/>
      <c r="IP4" s="36"/>
      <c r="IQ4" s="36"/>
      <c r="IR4" s="36"/>
      <c r="IS4" s="36"/>
      <c r="IT4" s="36"/>
      <c r="IU4" s="36"/>
      <c r="IV4" s="36"/>
    </row>
    <row r="5" spans="1:256" ht="15.75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/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  <c r="CV5" s="36"/>
      <c r="CW5" s="36"/>
      <c r="CX5" s="36"/>
      <c r="CY5" s="36"/>
      <c r="CZ5" s="36"/>
      <c r="DA5" s="36"/>
      <c r="DB5" s="36"/>
      <c r="DC5" s="36"/>
      <c r="DD5" s="36"/>
      <c r="DE5" s="36"/>
      <c r="DF5" s="36"/>
      <c r="DG5" s="36"/>
      <c r="DH5" s="36"/>
      <c r="DI5" s="36"/>
      <c r="DJ5" s="36"/>
      <c r="DK5" s="36"/>
      <c r="DL5" s="36"/>
      <c r="DM5" s="36"/>
      <c r="DN5" s="36"/>
      <c r="DO5" s="36"/>
      <c r="DP5" s="36"/>
      <c r="DQ5" s="36"/>
      <c r="DR5" s="36"/>
      <c r="DS5" s="36"/>
      <c r="DT5" s="36"/>
      <c r="DU5" s="36"/>
      <c r="DV5" s="36"/>
      <c r="DW5" s="36"/>
      <c r="DX5" s="36"/>
      <c r="DY5" s="36"/>
      <c r="DZ5" s="36"/>
      <c r="EA5" s="36"/>
      <c r="EB5" s="36"/>
      <c r="EC5" s="36"/>
      <c r="ED5" s="36"/>
      <c r="EE5" s="36"/>
      <c r="EF5" s="36"/>
      <c r="EG5" s="36"/>
      <c r="EH5" s="36"/>
      <c r="EI5" s="36"/>
      <c r="EJ5" s="36"/>
      <c r="EK5" s="36"/>
      <c r="EL5" s="36"/>
      <c r="EM5" s="36"/>
      <c r="EN5" s="36"/>
      <c r="EO5" s="36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  <c r="FH5" s="36"/>
      <c r="FI5" s="36"/>
      <c r="FJ5" s="36"/>
      <c r="FK5" s="36"/>
      <c r="FL5" s="36"/>
      <c r="FM5" s="36"/>
      <c r="FN5" s="36"/>
      <c r="FO5" s="36"/>
      <c r="FP5" s="36"/>
      <c r="FQ5" s="36"/>
      <c r="FR5" s="36"/>
      <c r="FS5" s="36"/>
      <c r="FT5" s="36"/>
      <c r="FU5" s="36"/>
      <c r="FV5" s="36"/>
      <c r="FW5" s="36"/>
      <c r="FX5" s="36"/>
      <c r="FY5" s="36"/>
      <c r="FZ5" s="36"/>
      <c r="GA5" s="36"/>
      <c r="GB5" s="36"/>
      <c r="GC5" s="36"/>
      <c r="GD5" s="36"/>
      <c r="GE5" s="36"/>
      <c r="GF5" s="36"/>
      <c r="GG5" s="36"/>
      <c r="GH5" s="36"/>
      <c r="GI5" s="36"/>
      <c r="GJ5" s="36"/>
      <c r="GK5" s="36"/>
      <c r="GL5" s="36"/>
      <c r="GM5" s="36"/>
      <c r="GN5" s="36"/>
      <c r="GO5" s="36"/>
      <c r="GP5" s="36"/>
      <c r="GQ5" s="36"/>
      <c r="GR5" s="36"/>
      <c r="GS5" s="36"/>
      <c r="GT5" s="36"/>
      <c r="GU5" s="36"/>
      <c r="GV5" s="36"/>
      <c r="GW5" s="36"/>
      <c r="GX5" s="36"/>
      <c r="GY5" s="36"/>
      <c r="GZ5" s="36"/>
      <c r="HA5" s="36"/>
      <c r="HB5" s="36"/>
      <c r="HC5" s="36"/>
      <c r="HD5" s="36"/>
      <c r="HE5" s="36"/>
      <c r="HF5" s="36"/>
      <c r="HG5" s="36"/>
      <c r="HH5" s="36"/>
      <c r="HI5" s="36"/>
      <c r="HJ5" s="36"/>
      <c r="HK5" s="36"/>
      <c r="HL5" s="36"/>
      <c r="HM5" s="36"/>
      <c r="HN5" s="36"/>
      <c r="HO5" s="36"/>
      <c r="HP5" s="36"/>
      <c r="HQ5" s="36"/>
      <c r="HR5" s="36"/>
      <c r="HS5" s="36"/>
      <c r="HT5" s="36"/>
      <c r="HU5" s="36"/>
      <c r="HV5" s="36"/>
      <c r="HW5" s="36"/>
      <c r="HX5" s="36"/>
      <c r="HY5" s="36"/>
      <c r="HZ5" s="36"/>
      <c r="IA5" s="36"/>
      <c r="IB5" s="36"/>
      <c r="IC5" s="36"/>
      <c r="ID5" s="36"/>
      <c r="IE5" s="36"/>
      <c r="IF5" s="36"/>
      <c r="IG5" s="36"/>
      <c r="IH5" s="36"/>
      <c r="II5" s="36"/>
      <c r="IJ5" s="36"/>
      <c r="IK5" s="36"/>
      <c r="IL5" s="36"/>
      <c r="IM5" s="36"/>
      <c r="IN5" s="36"/>
      <c r="IO5" s="36"/>
      <c r="IP5" s="36"/>
      <c r="IQ5" s="36"/>
      <c r="IR5" s="36"/>
      <c r="IS5" s="36"/>
      <c r="IT5" s="36"/>
      <c r="IU5" s="36"/>
      <c r="IV5" s="36"/>
    </row>
    <row r="6" spans="1:256" ht="13.5" thickBot="1" x14ac:dyDescent="0.25">
      <c r="N6" s="51"/>
    </row>
    <row r="7" spans="1:256" ht="22.5" customHeight="1" thickTop="1" x14ac:dyDescent="0.3">
      <c r="B7" s="52" t="s">
        <v>9</v>
      </c>
      <c r="C7" s="165">
        <v>225</v>
      </c>
      <c r="D7" s="53" t="s">
        <v>8</v>
      </c>
    </row>
    <row r="8" spans="1:256" ht="22.5" customHeight="1" x14ac:dyDescent="0.3">
      <c r="B8" s="82" t="s">
        <v>14</v>
      </c>
      <c r="C8" s="176">
        <f>0.75*(C7/1.5)^0.5</f>
        <v>9.1855865354369186</v>
      </c>
      <c r="D8" s="83" t="s">
        <v>8</v>
      </c>
    </row>
    <row r="9" spans="1:256" ht="22.5" customHeight="1" thickBot="1" x14ac:dyDescent="0.35">
      <c r="B9" s="54" t="s">
        <v>81</v>
      </c>
      <c r="C9" s="166">
        <v>2400</v>
      </c>
      <c r="D9" s="55" t="s">
        <v>8</v>
      </c>
    </row>
    <row r="10" spans="1:256" ht="15.75" thickTop="1" x14ac:dyDescent="0.25">
      <c r="B10" s="50"/>
      <c r="C10" s="40"/>
      <c r="D10" s="50"/>
    </row>
    <row r="11" spans="1:256" ht="13.5" thickBot="1" x14ac:dyDescent="0.25"/>
    <row r="12" spans="1:256" ht="15" customHeight="1" x14ac:dyDescent="0.25">
      <c r="A12" s="268" t="s">
        <v>10</v>
      </c>
      <c r="B12" s="6" t="s">
        <v>15</v>
      </c>
      <c r="C12" s="6" t="s">
        <v>6</v>
      </c>
      <c r="D12" s="6" t="s">
        <v>7</v>
      </c>
      <c r="E12" s="16" t="s">
        <v>157</v>
      </c>
      <c r="F12" s="19" t="s">
        <v>2</v>
      </c>
      <c r="G12" s="24" t="s">
        <v>11</v>
      </c>
      <c r="H12" s="281" t="s">
        <v>205</v>
      </c>
      <c r="I12" s="282"/>
      <c r="J12" s="283"/>
      <c r="K12" s="279" t="s">
        <v>13</v>
      </c>
    </row>
    <row r="13" spans="1:256" ht="17.25" customHeight="1" thickBot="1" x14ac:dyDescent="0.3">
      <c r="A13" s="269"/>
      <c r="B13" s="8" t="s">
        <v>58</v>
      </c>
      <c r="C13" s="8" t="s">
        <v>3</v>
      </c>
      <c r="D13" s="8" t="s">
        <v>4</v>
      </c>
      <c r="E13" s="17" t="s">
        <v>179</v>
      </c>
      <c r="F13" s="17" t="s">
        <v>16</v>
      </c>
      <c r="G13" s="25" t="s">
        <v>17</v>
      </c>
      <c r="H13" s="284"/>
      <c r="I13" s="285"/>
      <c r="J13" s="286"/>
      <c r="K13" s="280"/>
    </row>
    <row r="14" spans="1:256" ht="15" customHeight="1" x14ac:dyDescent="0.2">
      <c r="A14" s="161">
        <v>1</v>
      </c>
      <c r="B14" s="162">
        <v>15</v>
      </c>
      <c r="C14" s="162">
        <v>25</v>
      </c>
      <c r="D14" s="162">
        <v>65</v>
      </c>
      <c r="E14" s="84">
        <f>B14*1000/C14/D14</f>
        <v>9.2307692307692299</v>
      </c>
      <c r="F14" s="42">
        <f>(E14-0.5*$C$8)*1.15*C14/$C$9</f>
        <v>5.5559087057379011E-2</v>
      </c>
      <c r="G14" s="177">
        <v>2</v>
      </c>
      <c r="H14" s="79">
        <f>INT(F14*100/G14/M14)+1</f>
        <v>6</v>
      </c>
      <c r="I14" s="75" t="s">
        <v>5</v>
      </c>
      <c r="J14" s="179">
        <v>8</v>
      </c>
      <c r="K14" s="85" t="str">
        <f>IF(L14,"unsafe","safe")</f>
        <v>safe</v>
      </c>
      <c r="L14" s="30" t="b">
        <f>E14&gt;3*$C$8</f>
        <v>0</v>
      </c>
      <c r="M14" s="39">
        <f>3.14*J14^2/4/100</f>
        <v>0.50240000000000007</v>
      </c>
    </row>
    <row r="15" spans="1:256" ht="15" customHeight="1" x14ac:dyDescent="0.2">
      <c r="A15" s="161">
        <v>2</v>
      </c>
      <c r="B15" s="162">
        <v>15</v>
      </c>
      <c r="C15" s="162">
        <v>25</v>
      </c>
      <c r="D15" s="162">
        <v>65</v>
      </c>
      <c r="E15" s="86">
        <f t="shared" ref="E15:E46" si="0">B15*1000/C15/D15</f>
        <v>9.2307692307692299</v>
      </c>
      <c r="F15" s="42">
        <f t="shared" ref="F15:F45" si="1">(E15-0.5*$C$8)*1.15*C15/$C$9</f>
        <v>5.5559087057379011E-2</v>
      </c>
      <c r="G15" s="177">
        <v>2</v>
      </c>
      <c r="H15" s="79">
        <f t="shared" ref="H15:H46" si="2">INT(F15*100/G15/M15)+1</f>
        <v>6</v>
      </c>
      <c r="I15" s="60" t="s">
        <v>5</v>
      </c>
      <c r="J15" s="180">
        <v>8</v>
      </c>
      <c r="K15" s="85" t="str">
        <f t="shared" ref="K15:K46" si="3">IF(L15,"unsafe","safe")</f>
        <v>safe</v>
      </c>
      <c r="L15" s="30" t="b">
        <f t="shared" ref="L15:L46" si="4">E15&gt;3*$C$8</f>
        <v>0</v>
      </c>
      <c r="M15" s="39">
        <f t="shared" ref="M15:M45" si="5">3.14*J15^2/4/100</f>
        <v>0.50240000000000007</v>
      </c>
    </row>
    <row r="16" spans="1:256" ht="15" customHeight="1" x14ac:dyDescent="0.2">
      <c r="A16" s="161">
        <v>3</v>
      </c>
      <c r="B16" s="162">
        <v>15</v>
      </c>
      <c r="C16" s="162">
        <v>25</v>
      </c>
      <c r="D16" s="162">
        <v>65</v>
      </c>
      <c r="E16" s="86">
        <f t="shared" si="0"/>
        <v>9.2307692307692299</v>
      </c>
      <c r="F16" s="42">
        <f t="shared" si="1"/>
        <v>5.5559087057379011E-2</v>
      </c>
      <c r="G16" s="177">
        <v>2</v>
      </c>
      <c r="H16" s="79">
        <f t="shared" si="2"/>
        <v>6</v>
      </c>
      <c r="I16" s="60" t="s">
        <v>5</v>
      </c>
      <c r="J16" s="180">
        <v>8</v>
      </c>
      <c r="K16" s="85" t="str">
        <f t="shared" si="3"/>
        <v>safe</v>
      </c>
      <c r="L16" s="30" t="b">
        <f t="shared" si="4"/>
        <v>0</v>
      </c>
      <c r="M16" s="39">
        <f t="shared" si="5"/>
        <v>0.50240000000000007</v>
      </c>
    </row>
    <row r="17" spans="1:13" ht="15" customHeight="1" x14ac:dyDescent="0.2">
      <c r="A17" s="161">
        <v>4</v>
      </c>
      <c r="B17" s="162">
        <v>15</v>
      </c>
      <c r="C17" s="162">
        <v>25</v>
      </c>
      <c r="D17" s="162">
        <v>65</v>
      </c>
      <c r="E17" s="86">
        <f t="shared" si="0"/>
        <v>9.2307692307692299</v>
      </c>
      <c r="F17" s="42">
        <f t="shared" si="1"/>
        <v>5.5559087057379011E-2</v>
      </c>
      <c r="G17" s="177">
        <v>2</v>
      </c>
      <c r="H17" s="79">
        <f t="shared" si="2"/>
        <v>6</v>
      </c>
      <c r="I17" s="60" t="s">
        <v>5</v>
      </c>
      <c r="J17" s="180">
        <v>8</v>
      </c>
      <c r="K17" s="85" t="str">
        <f t="shared" si="3"/>
        <v>safe</v>
      </c>
      <c r="L17" s="30" t="b">
        <f t="shared" si="4"/>
        <v>0</v>
      </c>
      <c r="M17" s="39">
        <f t="shared" si="5"/>
        <v>0.50240000000000007</v>
      </c>
    </row>
    <row r="18" spans="1:13" ht="15" customHeight="1" x14ac:dyDescent="0.2">
      <c r="A18" s="161">
        <v>5</v>
      </c>
      <c r="B18" s="162">
        <v>15</v>
      </c>
      <c r="C18" s="162">
        <v>25</v>
      </c>
      <c r="D18" s="162">
        <v>65</v>
      </c>
      <c r="E18" s="86">
        <f t="shared" si="0"/>
        <v>9.2307692307692299</v>
      </c>
      <c r="F18" s="42">
        <f t="shared" si="1"/>
        <v>5.5559087057379011E-2</v>
      </c>
      <c r="G18" s="177">
        <v>2</v>
      </c>
      <c r="H18" s="79">
        <f t="shared" si="2"/>
        <v>6</v>
      </c>
      <c r="I18" s="60" t="s">
        <v>5</v>
      </c>
      <c r="J18" s="180">
        <v>8</v>
      </c>
      <c r="K18" s="85" t="str">
        <f t="shared" si="3"/>
        <v>safe</v>
      </c>
      <c r="L18" s="30" t="b">
        <f t="shared" si="4"/>
        <v>0</v>
      </c>
      <c r="M18" s="39">
        <f t="shared" si="5"/>
        <v>0.50240000000000007</v>
      </c>
    </row>
    <row r="19" spans="1:13" ht="15" customHeight="1" x14ac:dyDescent="0.2">
      <c r="A19" s="161">
        <v>6</v>
      </c>
      <c r="B19" s="162">
        <v>15</v>
      </c>
      <c r="C19" s="162">
        <v>25</v>
      </c>
      <c r="D19" s="162">
        <v>65</v>
      </c>
      <c r="E19" s="86">
        <f t="shared" si="0"/>
        <v>9.2307692307692299</v>
      </c>
      <c r="F19" s="42">
        <f t="shared" si="1"/>
        <v>5.5559087057379011E-2</v>
      </c>
      <c r="G19" s="177">
        <v>2</v>
      </c>
      <c r="H19" s="79">
        <f t="shared" si="2"/>
        <v>6</v>
      </c>
      <c r="I19" s="60" t="s">
        <v>5</v>
      </c>
      <c r="J19" s="180">
        <v>8</v>
      </c>
      <c r="K19" s="85" t="str">
        <f t="shared" si="3"/>
        <v>safe</v>
      </c>
      <c r="L19" s="30" t="b">
        <f t="shared" si="4"/>
        <v>0</v>
      </c>
      <c r="M19" s="39">
        <f t="shared" si="5"/>
        <v>0.50240000000000007</v>
      </c>
    </row>
    <row r="20" spans="1:13" ht="15" customHeight="1" x14ac:dyDescent="0.2">
      <c r="A20" s="161">
        <v>7</v>
      </c>
      <c r="B20" s="162">
        <v>15</v>
      </c>
      <c r="C20" s="162">
        <v>25</v>
      </c>
      <c r="D20" s="162">
        <v>65</v>
      </c>
      <c r="E20" s="86">
        <f t="shared" si="0"/>
        <v>9.2307692307692299</v>
      </c>
      <c r="F20" s="42">
        <f t="shared" si="1"/>
        <v>5.5559087057379011E-2</v>
      </c>
      <c r="G20" s="177">
        <v>2</v>
      </c>
      <c r="H20" s="79">
        <f t="shared" si="2"/>
        <v>6</v>
      </c>
      <c r="I20" s="60" t="s">
        <v>5</v>
      </c>
      <c r="J20" s="180">
        <v>8</v>
      </c>
      <c r="K20" s="85" t="str">
        <f t="shared" si="3"/>
        <v>safe</v>
      </c>
      <c r="L20" s="30" t="b">
        <f t="shared" si="4"/>
        <v>0</v>
      </c>
      <c r="M20" s="39">
        <f t="shared" si="5"/>
        <v>0.50240000000000007</v>
      </c>
    </row>
    <row r="21" spans="1:13" ht="15" customHeight="1" x14ac:dyDescent="0.2">
      <c r="A21" s="161">
        <v>8</v>
      </c>
      <c r="B21" s="162">
        <v>15</v>
      </c>
      <c r="C21" s="162">
        <v>25</v>
      </c>
      <c r="D21" s="162">
        <v>65</v>
      </c>
      <c r="E21" s="86">
        <f t="shared" si="0"/>
        <v>9.2307692307692299</v>
      </c>
      <c r="F21" s="42">
        <f t="shared" si="1"/>
        <v>5.5559087057379011E-2</v>
      </c>
      <c r="G21" s="177">
        <v>2</v>
      </c>
      <c r="H21" s="79">
        <f t="shared" si="2"/>
        <v>6</v>
      </c>
      <c r="I21" s="60" t="s">
        <v>5</v>
      </c>
      <c r="J21" s="180">
        <v>8</v>
      </c>
      <c r="K21" s="85" t="str">
        <f t="shared" si="3"/>
        <v>safe</v>
      </c>
      <c r="L21" s="30" t="b">
        <f t="shared" si="4"/>
        <v>0</v>
      </c>
      <c r="M21" s="39">
        <f t="shared" si="5"/>
        <v>0.50240000000000007</v>
      </c>
    </row>
    <row r="22" spans="1:13" ht="15" customHeight="1" x14ac:dyDescent="0.2">
      <c r="A22" s="161">
        <v>9</v>
      </c>
      <c r="B22" s="162">
        <v>15</v>
      </c>
      <c r="C22" s="162">
        <v>25</v>
      </c>
      <c r="D22" s="162">
        <v>65</v>
      </c>
      <c r="E22" s="86">
        <f t="shared" si="0"/>
        <v>9.2307692307692299</v>
      </c>
      <c r="F22" s="42">
        <f t="shared" si="1"/>
        <v>5.5559087057379011E-2</v>
      </c>
      <c r="G22" s="177">
        <v>2</v>
      </c>
      <c r="H22" s="79">
        <f t="shared" si="2"/>
        <v>6</v>
      </c>
      <c r="I22" s="60" t="s">
        <v>5</v>
      </c>
      <c r="J22" s="180">
        <v>8</v>
      </c>
      <c r="K22" s="85" t="str">
        <f t="shared" si="3"/>
        <v>safe</v>
      </c>
      <c r="L22" s="30" t="b">
        <f t="shared" si="4"/>
        <v>0</v>
      </c>
      <c r="M22" s="39">
        <f t="shared" si="5"/>
        <v>0.50240000000000007</v>
      </c>
    </row>
    <row r="23" spans="1:13" ht="15" customHeight="1" x14ac:dyDescent="0.2">
      <c r="A23" s="161">
        <v>10</v>
      </c>
      <c r="B23" s="162">
        <v>15</v>
      </c>
      <c r="C23" s="162">
        <v>25</v>
      </c>
      <c r="D23" s="162">
        <v>65</v>
      </c>
      <c r="E23" s="86">
        <f t="shared" si="0"/>
        <v>9.2307692307692299</v>
      </c>
      <c r="F23" s="42">
        <f t="shared" si="1"/>
        <v>5.5559087057379011E-2</v>
      </c>
      <c r="G23" s="177">
        <v>2</v>
      </c>
      <c r="H23" s="79">
        <f t="shared" si="2"/>
        <v>6</v>
      </c>
      <c r="I23" s="60" t="s">
        <v>5</v>
      </c>
      <c r="J23" s="180">
        <v>8</v>
      </c>
      <c r="K23" s="85" t="str">
        <f t="shared" si="3"/>
        <v>safe</v>
      </c>
      <c r="L23" s="30" t="b">
        <f t="shared" si="4"/>
        <v>0</v>
      </c>
      <c r="M23" s="39">
        <f t="shared" si="5"/>
        <v>0.50240000000000007</v>
      </c>
    </row>
    <row r="24" spans="1:13" ht="15" customHeight="1" x14ac:dyDescent="0.2">
      <c r="A24" s="161">
        <v>11</v>
      </c>
      <c r="B24" s="162">
        <v>15</v>
      </c>
      <c r="C24" s="162">
        <v>25</v>
      </c>
      <c r="D24" s="162">
        <v>65</v>
      </c>
      <c r="E24" s="86">
        <f t="shared" si="0"/>
        <v>9.2307692307692299</v>
      </c>
      <c r="F24" s="42">
        <f t="shared" si="1"/>
        <v>5.5559087057379011E-2</v>
      </c>
      <c r="G24" s="177">
        <v>2</v>
      </c>
      <c r="H24" s="79">
        <f t="shared" si="2"/>
        <v>6</v>
      </c>
      <c r="I24" s="60" t="s">
        <v>5</v>
      </c>
      <c r="J24" s="180">
        <v>8</v>
      </c>
      <c r="K24" s="85" t="str">
        <f t="shared" si="3"/>
        <v>safe</v>
      </c>
      <c r="L24" s="30" t="b">
        <f t="shared" si="4"/>
        <v>0</v>
      </c>
      <c r="M24" s="39">
        <f t="shared" si="5"/>
        <v>0.50240000000000007</v>
      </c>
    </row>
    <row r="25" spans="1:13" ht="15" customHeight="1" x14ac:dyDescent="0.2">
      <c r="A25" s="161">
        <v>12</v>
      </c>
      <c r="B25" s="162">
        <v>15</v>
      </c>
      <c r="C25" s="162">
        <v>25</v>
      </c>
      <c r="D25" s="162">
        <v>65</v>
      </c>
      <c r="E25" s="86">
        <f t="shared" si="0"/>
        <v>9.2307692307692299</v>
      </c>
      <c r="F25" s="42">
        <f t="shared" si="1"/>
        <v>5.5559087057379011E-2</v>
      </c>
      <c r="G25" s="177">
        <v>2</v>
      </c>
      <c r="H25" s="79">
        <f t="shared" si="2"/>
        <v>6</v>
      </c>
      <c r="I25" s="60" t="s">
        <v>5</v>
      </c>
      <c r="J25" s="180">
        <v>8</v>
      </c>
      <c r="K25" s="85" t="str">
        <f t="shared" si="3"/>
        <v>safe</v>
      </c>
      <c r="L25" s="30" t="b">
        <f t="shared" si="4"/>
        <v>0</v>
      </c>
      <c r="M25" s="39">
        <f t="shared" si="5"/>
        <v>0.50240000000000007</v>
      </c>
    </row>
    <row r="26" spans="1:13" ht="15" customHeight="1" x14ac:dyDescent="0.2">
      <c r="A26" s="161">
        <v>13</v>
      </c>
      <c r="B26" s="162">
        <v>15</v>
      </c>
      <c r="C26" s="162">
        <v>25</v>
      </c>
      <c r="D26" s="162">
        <v>65</v>
      </c>
      <c r="E26" s="86">
        <f t="shared" si="0"/>
        <v>9.2307692307692299</v>
      </c>
      <c r="F26" s="42">
        <f t="shared" si="1"/>
        <v>5.5559087057379011E-2</v>
      </c>
      <c r="G26" s="177">
        <v>2</v>
      </c>
      <c r="H26" s="79">
        <f t="shared" si="2"/>
        <v>6</v>
      </c>
      <c r="I26" s="60" t="s">
        <v>5</v>
      </c>
      <c r="J26" s="180">
        <v>8</v>
      </c>
      <c r="K26" s="85" t="str">
        <f t="shared" si="3"/>
        <v>safe</v>
      </c>
      <c r="L26" s="30" t="b">
        <f t="shared" si="4"/>
        <v>0</v>
      </c>
      <c r="M26" s="39">
        <f t="shared" si="5"/>
        <v>0.50240000000000007</v>
      </c>
    </row>
    <row r="27" spans="1:13" ht="15" customHeight="1" x14ac:dyDescent="0.2">
      <c r="A27" s="161">
        <v>14</v>
      </c>
      <c r="B27" s="162">
        <v>15</v>
      </c>
      <c r="C27" s="162">
        <v>25</v>
      </c>
      <c r="D27" s="162">
        <v>65</v>
      </c>
      <c r="E27" s="86">
        <f t="shared" si="0"/>
        <v>9.2307692307692299</v>
      </c>
      <c r="F27" s="42">
        <f t="shared" si="1"/>
        <v>5.5559087057379011E-2</v>
      </c>
      <c r="G27" s="177">
        <v>2</v>
      </c>
      <c r="H27" s="79">
        <f t="shared" si="2"/>
        <v>6</v>
      </c>
      <c r="I27" s="60" t="s">
        <v>5</v>
      </c>
      <c r="J27" s="180">
        <v>8</v>
      </c>
      <c r="K27" s="85" t="str">
        <f t="shared" si="3"/>
        <v>safe</v>
      </c>
      <c r="L27" s="30" t="b">
        <f t="shared" si="4"/>
        <v>0</v>
      </c>
      <c r="M27" s="39">
        <f t="shared" si="5"/>
        <v>0.50240000000000007</v>
      </c>
    </row>
    <row r="28" spans="1:13" ht="15" customHeight="1" x14ac:dyDescent="0.2">
      <c r="A28" s="161">
        <v>15</v>
      </c>
      <c r="B28" s="162">
        <v>15</v>
      </c>
      <c r="C28" s="162">
        <v>25</v>
      </c>
      <c r="D28" s="162">
        <v>65</v>
      </c>
      <c r="E28" s="86">
        <f t="shared" si="0"/>
        <v>9.2307692307692299</v>
      </c>
      <c r="F28" s="42">
        <f t="shared" si="1"/>
        <v>5.5559087057379011E-2</v>
      </c>
      <c r="G28" s="177">
        <v>2</v>
      </c>
      <c r="H28" s="79">
        <f t="shared" si="2"/>
        <v>6</v>
      </c>
      <c r="I28" s="60" t="s">
        <v>5</v>
      </c>
      <c r="J28" s="180">
        <v>8</v>
      </c>
      <c r="K28" s="85" t="str">
        <f t="shared" si="3"/>
        <v>safe</v>
      </c>
      <c r="L28" s="30" t="b">
        <f t="shared" si="4"/>
        <v>0</v>
      </c>
      <c r="M28" s="39">
        <f t="shared" si="5"/>
        <v>0.50240000000000007</v>
      </c>
    </row>
    <row r="29" spans="1:13" ht="15" customHeight="1" x14ac:dyDescent="0.2">
      <c r="A29" s="161">
        <v>16</v>
      </c>
      <c r="B29" s="162">
        <v>15</v>
      </c>
      <c r="C29" s="162">
        <v>25</v>
      </c>
      <c r="D29" s="162">
        <v>65</v>
      </c>
      <c r="E29" s="86">
        <f t="shared" si="0"/>
        <v>9.2307692307692299</v>
      </c>
      <c r="F29" s="42">
        <f t="shared" si="1"/>
        <v>5.5559087057379011E-2</v>
      </c>
      <c r="G29" s="177">
        <v>2</v>
      </c>
      <c r="H29" s="79">
        <f t="shared" si="2"/>
        <v>6</v>
      </c>
      <c r="I29" s="60" t="s">
        <v>5</v>
      </c>
      <c r="J29" s="180">
        <v>8</v>
      </c>
      <c r="K29" s="85" t="str">
        <f t="shared" si="3"/>
        <v>safe</v>
      </c>
      <c r="L29" s="30" t="b">
        <f t="shared" si="4"/>
        <v>0</v>
      </c>
      <c r="M29" s="39">
        <f t="shared" si="5"/>
        <v>0.50240000000000007</v>
      </c>
    </row>
    <row r="30" spans="1:13" ht="15" customHeight="1" x14ac:dyDescent="0.2">
      <c r="A30" s="161">
        <v>17</v>
      </c>
      <c r="B30" s="162">
        <v>15</v>
      </c>
      <c r="C30" s="162">
        <v>25</v>
      </c>
      <c r="D30" s="162">
        <v>65</v>
      </c>
      <c r="E30" s="86">
        <f t="shared" si="0"/>
        <v>9.2307692307692299</v>
      </c>
      <c r="F30" s="42">
        <f t="shared" si="1"/>
        <v>5.5559087057379011E-2</v>
      </c>
      <c r="G30" s="177">
        <v>2</v>
      </c>
      <c r="H30" s="79">
        <f t="shared" si="2"/>
        <v>6</v>
      </c>
      <c r="I30" s="60" t="s">
        <v>5</v>
      </c>
      <c r="J30" s="180">
        <v>8</v>
      </c>
      <c r="K30" s="85" t="str">
        <f t="shared" si="3"/>
        <v>safe</v>
      </c>
      <c r="L30" s="30" t="b">
        <f t="shared" si="4"/>
        <v>0</v>
      </c>
      <c r="M30" s="39">
        <f t="shared" si="5"/>
        <v>0.50240000000000007</v>
      </c>
    </row>
    <row r="31" spans="1:13" ht="15" customHeight="1" x14ac:dyDescent="0.2">
      <c r="A31" s="161">
        <v>18</v>
      </c>
      <c r="B31" s="162">
        <v>15</v>
      </c>
      <c r="C31" s="162">
        <v>25</v>
      </c>
      <c r="D31" s="162">
        <v>65</v>
      </c>
      <c r="E31" s="86">
        <f t="shared" si="0"/>
        <v>9.2307692307692299</v>
      </c>
      <c r="F31" s="42">
        <f t="shared" si="1"/>
        <v>5.5559087057379011E-2</v>
      </c>
      <c r="G31" s="177">
        <v>2</v>
      </c>
      <c r="H31" s="79">
        <f t="shared" si="2"/>
        <v>6</v>
      </c>
      <c r="I31" s="60" t="s">
        <v>5</v>
      </c>
      <c r="J31" s="180">
        <v>8</v>
      </c>
      <c r="K31" s="85" t="str">
        <f t="shared" si="3"/>
        <v>safe</v>
      </c>
      <c r="L31" s="30" t="b">
        <f t="shared" si="4"/>
        <v>0</v>
      </c>
      <c r="M31" s="39">
        <f t="shared" si="5"/>
        <v>0.50240000000000007</v>
      </c>
    </row>
    <row r="32" spans="1:13" ht="15" customHeight="1" x14ac:dyDescent="0.2">
      <c r="A32" s="161">
        <v>19</v>
      </c>
      <c r="B32" s="162">
        <v>15</v>
      </c>
      <c r="C32" s="162">
        <v>25</v>
      </c>
      <c r="D32" s="162">
        <v>65</v>
      </c>
      <c r="E32" s="86">
        <f t="shared" si="0"/>
        <v>9.2307692307692299</v>
      </c>
      <c r="F32" s="42">
        <f t="shared" si="1"/>
        <v>5.5559087057379011E-2</v>
      </c>
      <c r="G32" s="177">
        <v>2</v>
      </c>
      <c r="H32" s="79">
        <f t="shared" si="2"/>
        <v>6</v>
      </c>
      <c r="I32" s="60" t="s">
        <v>5</v>
      </c>
      <c r="J32" s="180">
        <v>8</v>
      </c>
      <c r="K32" s="85" t="str">
        <f t="shared" si="3"/>
        <v>safe</v>
      </c>
      <c r="L32" s="30" t="b">
        <f t="shared" si="4"/>
        <v>0</v>
      </c>
      <c r="M32" s="39">
        <f t="shared" si="5"/>
        <v>0.50240000000000007</v>
      </c>
    </row>
    <row r="33" spans="1:13" ht="15" customHeight="1" x14ac:dyDescent="0.2">
      <c r="A33" s="161">
        <v>20</v>
      </c>
      <c r="B33" s="162">
        <v>15</v>
      </c>
      <c r="C33" s="162">
        <v>25</v>
      </c>
      <c r="D33" s="162">
        <v>65</v>
      </c>
      <c r="E33" s="86">
        <f t="shared" si="0"/>
        <v>9.2307692307692299</v>
      </c>
      <c r="F33" s="42">
        <f t="shared" si="1"/>
        <v>5.5559087057379011E-2</v>
      </c>
      <c r="G33" s="177">
        <v>2</v>
      </c>
      <c r="H33" s="79">
        <f t="shared" si="2"/>
        <v>6</v>
      </c>
      <c r="I33" s="60" t="s">
        <v>5</v>
      </c>
      <c r="J33" s="180">
        <v>8</v>
      </c>
      <c r="K33" s="85" t="str">
        <f t="shared" si="3"/>
        <v>safe</v>
      </c>
      <c r="L33" s="30" t="b">
        <f t="shared" si="4"/>
        <v>0</v>
      </c>
      <c r="M33" s="39">
        <f t="shared" si="5"/>
        <v>0.50240000000000007</v>
      </c>
    </row>
    <row r="34" spans="1:13" ht="15" customHeight="1" x14ac:dyDescent="0.2">
      <c r="A34" s="161">
        <v>21</v>
      </c>
      <c r="B34" s="162">
        <v>15</v>
      </c>
      <c r="C34" s="162">
        <v>25</v>
      </c>
      <c r="D34" s="162">
        <v>65</v>
      </c>
      <c r="E34" s="86">
        <f t="shared" si="0"/>
        <v>9.2307692307692299</v>
      </c>
      <c r="F34" s="42">
        <f t="shared" si="1"/>
        <v>5.5559087057379011E-2</v>
      </c>
      <c r="G34" s="177">
        <v>2</v>
      </c>
      <c r="H34" s="79">
        <f t="shared" si="2"/>
        <v>6</v>
      </c>
      <c r="I34" s="60" t="s">
        <v>5</v>
      </c>
      <c r="J34" s="180">
        <v>8</v>
      </c>
      <c r="K34" s="85" t="str">
        <f t="shared" si="3"/>
        <v>safe</v>
      </c>
      <c r="L34" s="30" t="b">
        <f t="shared" si="4"/>
        <v>0</v>
      </c>
      <c r="M34" s="39">
        <f t="shared" si="5"/>
        <v>0.50240000000000007</v>
      </c>
    </row>
    <row r="35" spans="1:13" ht="15" customHeight="1" x14ac:dyDescent="0.2">
      <c r="A35" s="161">
        <v>22</v>
      </c>
      <c r="B35" s="162">
        <v>15</v>
      </c>
      <c r="C35" s="162">
        <v>25</v>
      </c>
      <c r="D35" s="162">
        <v>65</v>
      </c>
      <c r="E35" s="86">
        <f t="shared" si="0"/>
        <v>9.2307692307692299</v>
      </c>
      <c r="F35" s="42">
        <f t="shared" si="1"/>
        <v>5.5559087057379011E-2</v>
      </c>
      <c r="G35" s="177">
        <v>2</v>
      </c>
      <c r="H35" s="79">
        <f t="shared" si="2"/>
        <v>6</v>
      </c>
      <c r="I35" s="60" t="s">
        <v>5</v>
      </c>
      <c r="J35" s="180">
        <v>8</v>
      </c>
      <c r="K35" s="85" t="str">
        <f t="shared" si="3"/>
        <v>safe</v>
      </c>
      <c r="L35" s="30" t="b">
        <f t="shared" si="4"/>
        <v>0</v>
      </c>
      <c r="M35" s="39">
        <f t="shared" si="5"/>
        <v>0.50240000000000007</v>
      </c>
    </row>
    <row r="36" spans="1:13" ht="15" customHeight="1" x14ac:dyDescent="0.2">
      <c r="A36" s="161">
        <v>23</v>
      </c>
      <c r="B36" s="162">
        <v>15</v>
      </c>
      <c r="C36" s="162">
        <v>25</v>
      </c>
      <c r="D36" s="162">
        <v>65</v>
      </c>
      <c r="E36" s="86">
        <f t="shared" si="0"/>
        <v>9.2307692307692299</v>
      </c>
      <c r="F36" s="42">
        <f t="shared" si="1"/>
        <v>5.5559087057379011E-2</v>
      </c>
      <c r="G36" s="177">
        <v>2</v>
      </c>
      <c r="H36" s="79">
        <f t="shared" si="2"/>
        <v>6</v>
      </c>
      <c r="I36" s="60" t="s">
        <v>5</v>
      </c>
      <c r="J36" s="180">
        <v>8</v>
      </c>
      <c r="K36" s="85" t="str">
        <f t="shared" si="3"/>
        <v>safe</v>
      </c>
      <c r="L36" s="30" t="b">
        <f t="shared" si="4"/>
        <v>0</v>
      </c>
      <c r="M36" s="39">
        <f t="shared" si="5"/>
        <v>0.50240000000000007</v>
      </c>
    </row>
    <row r="37" spans="1:13" ht="15" customHeight="1" x14ac:dyDescent="0.2">
      <c r="A37" s="161">
        <v>24</v>
      </c>
      <c r="B37" s="162">
        <v>15</v>
      </c>
      <c r="C37" s="162">
        <v>25</v>
      </c>
      <c r="D37" s="162">
        <v>65</v>
      </c>
      <c r="E37" s="86">
        <f t="shared" si="0"/>
        <v>9.2307692307692299</v>
      </c>
      <c r="F37" s="42">
        <f t="shared" si="1"/>
        <v>5.5559087057379011E-2</v>
      </c>
      <c r="G37" s="177">
        <v>2</v>
      </c>
      <c r="H37" s="79">
        <f t="shared" si="2"/>
        <v>6</v>
      </c>
      <c r="I37" s="60" t="s">
        <v>5</v>
      </c>
      <c r="J37" s="180">
        <v>8</v>
      </c>
      <c r="K37" s="85" t="str">
        <f t="shared" si="3"/>
        <v>safe</v>
      </c>
      <c r="L37" s="30" t="b">
        <f t="shared" si="4"/>
        <v>0</v>
      </c>
      <c r="M37" s="39">
        <f t="shared" si="5"/>
        <v>0.50240000000000007</v>
      </c>
    </row>
    <row r="38" spans="1:13" ht="15" customHeight="1" x14ac:dyDescent="0.2">
      <c r="A38" s="161">
        <v>25</v>
      </c>
      <c r="B38" s="162">
        <v>15</v>
      </c>
      <c r="C38" s="162">
        <v>25</v>
      </c>
      <c r="D38" s="162">
        <v>65</v>
      </c>
      <c r="E38" s="86">
        <f t="shared" si="0"/>
        <v>9.2307692307692299</v>
      </c>
      <c r="F38" s="42">
        <f t="shared" si="1"/>
        <v>5.5559087057379011E-2</v>
      </c>
      <c r="G38" s="177">
        <v>2</v>
      </c>
      <c r="H38" s="79">
        <f t="shared" si="2"/>
        <v>6</v>
      </c>
      <c r="I38" s="60" t="s">
        <v>5</v>
      </c>
      <c r="J38" s="180">
        <v>8</v>
      </c>
      <c r="K38" s="85" t="str">
        <f t="shared" si="3"/>
        <v>safe</v>
      </c>
      <c r="L38" s="30" t="b">
        <f t="shared" si="4"/>
        <v>0</v>
      </c>
      <c r="M38" s="39">
        <f t="shared" si="5"/>
        <v>0.50240000000000007</v>
      </c>
    </row>
    <row r="39" spans="1:13" ht="15" customHeight="1" x14ac:dyDescent="0.2">
      <c r="A39" s="161">
        <v>26</v>
      </c>
      <c r="B39" s="162">
        <v>15</v>
      </c>
      <c r="C39" s="162">
        <v>25</v>
      </c>
      <c r="D39" s="162">
        <v>65</v>
      </c>
      <c r="E39" s="86">
        <f t="shared" si="0"/>
        <v>9.2307692307692299</v>
      </c>
      <c r="F39" s="42">
        <f t="shared" si="1"/>
        <v>5.5559087057379011E-2</v>
      </c>
      <c r="G39" s="177">
        <v>2</v>
      </c>
      <c r="H39" s="79">
        <f t="shared" si="2"/>
        <v>6</v>
      </c>
      <c r="I39" s="60" t="s">
        <v>5</v>
      </c>
      <c r="J39" s="180">
        <v>8</v>
      </c>
      <c r="K39" s="85" t="str">
        <f t="shared" si="3"/>
        <v>safe</v>
      </c>
      <c r="L39" s="30" t="b">
        <f t="shared" si="4"/>
        <v>0</v>
      </c>
      <c r="M39" s="39">
        <f t="shared" si="5"/>
        <v>0.50240000000000007</v>
      </c>
    </row>
    <row r="40" spans="1:13" ht="15" customHeight="1" x14ac:dyDescent="0.2">
      <c r="A40" s="161">
        <v>27</v>
      </c>
      <c r="B40" s="162">
        <v>15</v>
      </c>
      <c r="C40" s="162">
        <v>25</v>
      </c>
      <c r="D40" s="162">
        <v>65</v>
      </c>
      <c r="E40" s="86">
        <f t="shared" si="0"/>
        <v>9.2307692307692299</v>
      </c>
      <c r="F40" s="42">
        <f t="shared" si="1"/>
        <v>5.5559087057379011E-2</v>
      </c>
      <c r="G40" s="177">
        <v>2</v>
      </c>
      <c r="H40" s="79">
        <f t="shared" si="2"/>
        <v>6</v>
      </c>
      <c r="I40" s="60" t="s">
        <v>5</v>
      </c>
      <c r="J40" s="180">
        <v>8</v>
      </c>
      <c r="K40" s="85" t="str">
        <f t="shared" si="3"/>
        <v>safe</v>
      </c>
      <c r="L40" s="30" t="b">
        <f t="shared" si="4"/>
        <v>0</v>
      </c>
      <c r="M40" s="39">
        <f t="shared" si="5"/>
        <v>0.50240000000000007</v>
      </c>
    </row>
    <row r="41" spans="1:13" ht="15" customHeight="1" x14ac:dyDescent="0.2">
      <c r="A41" s="161">
        <v>28</v>
      </c>
      <c r="B41" s="162">
        <v>15</v>
      </c>
      <c r="C41" s="162">
        <v>25</v>
      </c>
      <c r="D41" s="162">
        <v>65</v>
      </c>
      <c r="E41" s="86">
        <f t="shared" si="0"/>
        <v>9.2307692307692299</v>
      </c>
      <c r="F41" s="42">
        <f t="shared" si="1"/>
        <v>5.5559087057379011E-2</v>
      </c>
      <c r="G41" s="177">
        <v>2</v>
      </c>
      <c r="H41" s="79">
        <f t="shared" si="2"/>
        <v>6</v>
      </c>
      <c r="I41" s="60" t="s">
        <v>5</v>
      </c>
      <c r="J41" s="180">
        <v>8</v>
      </c>
      <c r="K41" s="85" t="str">
        <f t="shared" si="3"/>
        <v>safe</v>
      </c>
      <c r="L41" s="30" t="b">
        <f t="shared" si="4"/>
        <v>0</v>
      </c>
      <c r="M41" s="39">
        <f t="shared" si="5"/>
        <v>0.50240000000000007</v>
      </c>
    </row>
    <row r="42" spans="1:13" ht="15" customHeight="1" x14ac:dyDescent="0.2">
      <c r="A42" s="161">
        <v>29</v>
      </c>
      <c r="B42" s="162">
        <v>15</v>
      </c>
      <c r="C42" s="162">
        <v>25</v>
      </c>
      <c r="D42" s="162">
        <v>65</v>
      </c>
      <c r="E42" s="86">
        <f t="shared" si="0"/>
        <v>9.2307692307692299</v>
      </c>
      <c r="F42" s="42">
        <f t="shared" si="1"/>
        <v>5.5559087057379011E-2</v>
      </c>
      <c r="G42" s="177">
        <v>2</v>
      </c>
      <c r="H42" s="79">
        <f t="shared" si="2"/>
        <v>6</v>
      </c>
      <c r="I42" s="60" t="s">
        <v>5</v>
      </c>
      <c r="J42" s="180">
        <v>8</v>
      </c>
      <c r="K42" s="85" t="str">
        <f t="shared" si="3"/>
        <v>safe</v>
      </c>
      <c r="L42" s="30" t="b">
        <f t="shared" si="4"/>
        <v>0</v>
      </c>
      <c r="M42" s="39">
        <f t="shared" si="5"/>
        <v>0.50240000000000007</v>
      </c>
    </row>
    <row r="43" spans="1:13" ht="15" customHeight="1" x14ac:dyDescent="0.2">
      <c r="A43" s="161">
        <v>30</v>
      </c>
      <c r="B43" s="162">
        <v>15</v>
      </c>
      <c r="C43" s="162">
        <v>25</v>
      </c>
      <c r="D43" s="162">
        <v>65</v>
      </c>
      <c r="E43" s="86">
        <f t="shared" si="0"/>
        <v>9.2307692307692299</v>
      </c>
      <c r="F43" s="42">
        <f t="shared" si="1"/>
        <v>5.5559087057379011E-2</v>
      </c>
      <c r="G43" s="177">
        <v>2</v>
      </c>
      <c r="H43" s="79">
        <f t="shared" si="2"/>
        <v>6</v>
      </c>
      <c r="I43" s="60" t="s">
        <v>5</v>
      </c>
      <c r="J43" s="180">
        <v>8</v>
      </c>
      <c r="K43" s="85" t="str">
        <f t="shared" si="3"/>
        <v>safe</v>
      </c>
      <c r="L43" s="30" t="b">
        <f t="shared" si="4"/>
        <v>0</v>
      </c>
      <c r="M43" s="39">
        <f t="shared" si="5"/>
        <v>0.50240000000000007</v>
      </c>
    </row>
    <row r="44" spans="1:13" ht="15" customHeight="1" x14ac:dyDescent="0.2">
      <c r="A44" s="161">
        <v>31</v>
      </c>
      <c r="B44" s="162">
        <v>15</v>
      </c>
      <c r="C44" s="162">
        <v>25</v>
      </c>
      <c r="D44" s="162">
        <v>65</v>
      </c>
      <c r="E44" s="86">
        <f t="shared" si="0"/>
        <v>9.2307692307692299</v>
      </c>
      <c r="F44" s="42">
        <f t="shared" si="1"/>
        <v>5.5559087057379011E-2</v>
      </c>
      <c r="G44" s="177">
        <v>2</v>
      </c>
      <c r="H44" s="79">
        <f t="shared" si="2"/>
        <v>6</v>
      </c>
      <c r="I44" s="60" t="s">
        <v>5</v>
      </c>
      <c r="J44" s="180">
        <v>8</v>
      </c>
      <c r="K44" s="85" t="str">
        <f t="shared" si="3"/>
        <v>safe</v>
      </c>
      <c r="L44" s="30" t="b">
        <f t="shared" si="4"/>
        <v>0</v>
      </c>
      <c r="M44" s="39">
        <f t="shared" si="5"/>
        <v>0.50240000000000007</v>
      </c>
    </row>
    <row r="45" spans="1:13" ht="15" customHeight="1" x14ac:dyDescent="0.2">
      <c r="A45" s="161">
        <v>32</v>
      </c>
      <c r="B45" s="162">
        <v>15</v>
      </c>
      <c r="C45" s="162">
        <v>25</v>
      </c>
      <c r="D45" s="162">
        <v>65</v>
      </c>
      <c r="E45" s="86">
        <f t="shared" si="0"/>
        <v>9.2307692307692299</v>
      </c>
      <c r="F45" s="42">
        <f t="shared" si="1"/>
        <v>5.5559087057379011E-2</v>
      </c>
      <c r="G45" s="177">
        <v>2</v>
      </c>
      <c r="H45" s="79">
        <f t="shared" si="2"/>
        <v>6</v>
      </c>
      <c r="I45" s="60" t="s">
        <v>5</v>
      </c>
      <c r="J45" s="180">
        <v>8</v>
      </c>
      <c r="K45" s="85" t="str">
        <f t="shared" si="3"/>
        <v>safe</v>
      </c>
      <c r="L45" s="30" t="b">
        <f t="shared" si="4"/>
        <v>0</v>
      </c>
      <c r="M45" s="39">
        <f t="shared" si="5"/>
        <v>0.50240000000000007</v>
      </c>
    </row>
    <row r="46" spans="1:13" ht="15" customHeight="1" thickBot="1" x14ac:dyDescent="0.25">
      <c r="A46" s="163">
        <v>33</v>
      </c>
      <c r="B46" s="160">
        <v>15</v>
      </c>
      <c r="C46" s="160">
        <v>25</v>
      </c>
      <c r="D46" s="160">
        <v>65</v>
      </c>
      <c r="E46" s="62">
        <f t="shared" si="0"/>
        <v>9.2307692307692299</v>
      </c>
      <c r="F46" s="37">
        <f>(E46-0.5*$C$8)*1.15*C46/$C$9</f>
        <v>5.5559087057379011E-2</v>
      </c>
      <c r="G46" s="178">
        <v>2</v>
      </c>
      <c r="H46" s="80">
        <f t="shared" si="2"/>
        <v>6</v>
      </c>
      <c r="I46" s="64" t="s">
        <v>5</v>
      </c>
      <c r="J46" s="181">
        <v>8</v>
      </c>
      <c r="K46" s="87" t="str">
        <f t="shared" si="3"/>
        <v>safe</v>
      </c>
      <c r="L46" s="30" t="b">
        <f t="shared" si="4"/>
        <v>0</v>
      </c>
      <c r="M46" s="39">
        <f>3.14*J46^2/4/100</f>
        <v>0.50240000000000007</v>
      </c>
    </row>
  </sheetData>
  <sheetProtection sheet="1" objects="1" scenarios="1"/>
  <mergeCells count="4">
    <mergeCell ref="K12:K13"/>
    <mergeCell ref="A12:A13"/>
    <mergeCell ref="H12:J13"/>
    <mergeCell ref="C4:K4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&amp;R&amp;"Arial,Bold Italic"&amp;9Concrete design using the ultimate limit design method.</oddHeader>
    <oddFooter>&amp;L&amp;"Arial,Bold Italic"&amp;9By: Eng. Mahmoud El-Kateb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workbookViewId="0">
      <selection activeCell="C4" sqref="C4:I4"/>
    </sheetView>
  </sheetViews>
  <sheetFormatPr defaultColWidth="9.140625" defaultRowHeight="12.75" x14ac:dyDescent="0.2"/>
  <cols>
    <col min="1" max="1" width="4.5703125" style="30" customWidth="1"/>
    <col min="2" max="2" width="21.140625" style="30" customWidth="1"/>
    <col min="3" max="3" width="7.7109375" style="30" customWidth="1"/>
    <col min="4" max="4" width="7.42578125" style="30" customWidth="1"/>
    <col min="5" max="5" width="6.5703125" style="30" customWidth="1"/>
    <col min="6" max="6" width="6.7109375" style="30" customWidth="1"/>
    <col min="7" max="7" width="16" style="30" customWidth="1"/>
    <col min="8" max="8" width="6.7109375" style="30" customWidth="1"/>
    <col min="9" max="9" width="7.42578125" style="38" customWidth="1"/>
    <col min="10" max="13" width="9.140625" style="30" hidden="1" customWidth="1"/>
    <col min="14" max="17" width="9.140625" style="30"/>
    <col min="18" max="18" width="10.28515625" style="30" customWidth="1"/>
    <col min="19" max="16384" width="9.140625" style="30"/>
  </cols>
  <sheetData>
    <row r="1" spans="1:17" ht="22.5" x14ac:dyDescent="0.3">
      <c r="A1" s="34" t="s">
        <v>51</v>
      </c>
    </row>
    <row r="2" spans="1:17" ht="12.75" customHeight="1" x14ac:dyDescent="0.3">
      <c r="A2" s="81"/>
    </row>
    <row r="4" spans="1:17" ht="18.75" x14ac:dyDescent="0.3">
      <c r="B4" s="35" t="s">
        <v>33</v>
      </c>
      <c r="C4" s="270"/>
      <c r="D4" s="270"/>
      <c r="E4" s="270"/>
      <c r="F4" s="270"/>
      <c r="G4" s="270"/>
      <c r="H4" s="270"/>
      <c r="I4" s="270"/>
    </row>
    <row r="6" spans="1:17" ht="13.5" thickBot="1" x14ac:dyDescent="0.25">
      <c r="Q6" s="51"/>
    </row>
    <row r="7" spans="1:17" ht="24" customHeight="1" thickTop="1" x14ac:dyDescent="0.3">
      <c r="B7" s="52" t="s">
        <v>83</v>
      </c>
      <c r="C7" s="165">
        <v>225</v>
      </c>
      <c r="D7" s="53" t="s">
        <v>8</v>
      </c>
    </row>
    <row r="8" spans="1:17" ht="24" customHeight="1" x14ac:dyDescent="0.3">
      <c r="B8" s="82" t="s">
        <v>54</v>
      </c>
      <c r="C8" s="176">
        <f>0.75*(C7/1.5)^0.5</f>
        <v>9.1855865354369186</v>
      </c>
      <c r="D8" s="83" t="s">
        <v>8</v>
      </c>
    </row>
    <row r="9" spans="1:17" ht="24" customHeight="1" x14ac:dyDescent="0.3">
      <c r="B9" s="82" t="s">
        <v>82</v>
      </c>
      <c r="C9" s="182">
        <v>2400</v>
      </c>
      <c r="D9" s="83" t="s">
        <v>8</v>
      </c>
    </row>
    <row r="10" spans="1:17" ht="24" customHeight="1" thickBot="1" x14ac:dyDescent="0.35">
      <c r="B10" s="54" t="s">
        <v>52</v>
      </c>
      <c r="C10" s="183">
        <v>3600</v>
      </c>
      <c r="D10" s="55" t="s">
        <v>8</v>
      </c>
    </row>
    <row r="11" spans="1:17" ht="22.5" customHeight="1" thickTop="1" x14ac:dyDescent="0.25">
      <c r="B11" s="50"/>
      <c r="C11" s="40"/>
      <c r="D11" s="50"/>
    </row>
    <row r="12" spans="1:17" ht="15" x14ac:dyDescent="0.25">
      <c r="B12" s="50"/>
      <c r="C12" s="40"/>
      <c r="D12" s="50"/>
    </row>
    <row r="13" spans="1:17" s="38" customFormat="1" x14ac:dyDescent="0.2">
      <c r="A13" s="2"/>
      <c r="B13" s="2" t="s">
        <v>53</v>
      </c>
      <c r="C13" s="2"/>
      <c r="D13" s="291" t="s">
        <v>139</v>
      </c>
      <c r="E13" s="292"/>
      <c r="F13" s="2"/>
      <c r="G13" s="2" t="s">
        <v>92</v>
      </c>
    </row>
    <row r="14" spans="1:17" s="38" customFormat="1" ht="15" thickBot="1" x14ac:dyDescent="0.3">
      <c r="A14" s="1" t="s">
        <v>10</v>
      </c>
      <c r="B14" s="1" t="s">
        <v>89</v>
      </c>
      <c r="C14" s="1"/>
      <c r="D14" s="1" t="s">
        <v>3</v>
      </c>
      <c r="E14" s="1" t="s">
        <v>23</v>
      </c>
      <c r="F14" s="1"/>
      <c r="G14" s="1" t="s">
        <v>90</v>
      </c>
    </row>
    <row r="15" spans="1:17" s="38" customFormat="1" ht="14.25" x14ac:dyDescent="0.2">
      <c r="A15" s="184">
        <v>1</v>
      </c>
      <c r="B15" s="170">
        <v>3</v>
      </c>
      <c r="C15" s="170"/>
      <c r="D15" s="170">
        <v>30</v>
      </c>
      <c r="E15" s="170">
        <v>70</v>
      </c>
      <c r="F15" s="170"/>
      <c r="G15" s="170">
        <v>12</v>
      </c>
      <c r="J15" s="89"/>
    </row>
    <row r="16" spans="1:17" s="38" customFormat="1" x14ac:dyDescent="0.2"/>
    <row r="17" spans="2:14" s="38" customFormat="1" x14ac:dyDescent="0.2"/>
    <row r="18" spans="2:14" s="38" customFormat="1" ht="15.75" customHeight="1" thickBot="1" x14ac:dyDescent="0.3">
      <c r="B18" s="20" t="s">
        <v>55</v>
      </c>
      <c r="C18" s="21"/>
      <c r="D18" s="21" t="s">
        <v>165</v>
      </c>
      <c r="E18" s="9"/>
      <c r="F18" s="1"/>
      <c r="G18" s="21" t="s">
        <v>13</v>
      </c>
      <c r="J18" s="38">
        <f>1/(1+(D22/D19)^2)^0.5</f>
        <v>0.39562389604166409</v>
      </c>
      <c r="K18" s="38">
        <f>1/(1+(D19/D22)^2)^0.5</f>
        <v>0.91841261581100608</v>
      </c>
    </row>
    <row r="19" spans="2:14" s="38" customFormat="1" ht="14.25" x14ac:dyDescent="0.2">
      <c r="B19" s="90"/>
      <c r="C19" s="90"/>
      <c r="D19" s="84">
        <f>G15*1000/D15/(E15-5)</f>
        <v>6.1538461538461542</v>
      </c>
      <c r="E19" s="91" t="s">
        <v>180</v>
      </c>
      <c r="G19" s="92" t="str">
        <f>IF(J21,"unsafe","safe")</f>
        <v>safe</v>
      </c>
      <c r="J19" s="38">
        <f>J18*C8</f>
        <v>3.634037532577405</v>
      </c>
      <c r="K19" s="38">
        <f>K18*C8</f>
        <v>8.4361585577689766</v>
      </c>
    </row>
    <row r="20" spans="2:14" s="38" customFormat="1" x14ac:dyDescent="0.2">
      <c r="B20" s="90"/>
      <c r="C20" s="90"/>
      <c r="D20" s="90"/>
      <c r="G20" s="90"/>
      <c r="J20" s="38">
        <f>3*J19</f>
        <v>10.902112597732215</v>
      </c>
      <c r="K20" s="38">
        <f>3*K19</f>
        <v>25.30847567330693</v>
      </c>
    </row>
    <row r="21" spans="2:14" s="38" customFormat="1" ht="15.75" customHeight="1" thickBot="1" x14ac:dyDescent="0.3">
      <c r="B21" s="20" t="s">
        <v>56</v>
      </c>
      <c r="C21" s="21"/>
      <c r="D21" s="21" t="s">
        <v>166</v>
      </c>
      <c r="E21" s="9"/>
      <c r="F21" s="1"/>
      <c r="G21" s="21" t="s">
        <v>13</v>
      </c>
      <c r="J21" s="38" t="b">
        <f>D19&gt;J20</f>
        <v>0</v>
      </c>
      <c r="K21" s="38" t="b">
        <f>D22&gt;K20</f>
        <v>0</v>
      </c>
    </row>
    <row r="22" spans="2:14" s="38" customFormat="1" ht="14.25" x14ac:dyDescent="0.2">
      <c r="B22" s="90"/>
      <c r="C22" s="90"/>
      <c r="D22" s="84">
        <f>3*B15*10^5/D15^2/E15</f>
        <v>14.285714285714286</v>
      </c>
      <c r="E22" s="91" t="s">
        <v>180</v>
      </c>
      <c r="G22" s="92" t="str">
        <f>IF(K21,"unsafe","safe")</f>
        <v>safe</v>
      </c>
    </row>
    <row r="23" spans="2:14" s="38" customFormat="1" x14ac:dyDescent="0.2">
      <c r="B23" s="90"/>
      <c r="C23" s="90"/>
      <c r="D23" s="90"/>
      <c r="G23" s="90"/>
    </row>
    <row r="24" spans="2:14" s="38" customFormat="1" x14ac:dyDescent="0.2">
      <c r="B24" s="90"/>
      <c r="C24" s="90"/>
      <c r="D24" s="90"/>
      <c r="G24" s="90"/>
    </row>
    <row r="25" spans="2:14" s="38" customFormat="1" ht="13.5" thickBot="1" x14ac:dyDescent="0.25">
      <c r="B25" s="20" t="s">
        <v>59</v>
      </c>
      <c r="C25" s="90"/>
      <c r="D25" s="90"/>
      <c r="G25" s="90"/>
    </row>
    <row r="26" spans="2:14" s="38" customFormat="1" x14ac:dyDescent="0.2">
      <c r="B26" s="90"/>
      <c r="C26" s="90"/>
      <c r="D26" s="90"/>
      <c r="G26" s="90"/>
    </row>
    <row r="27" spans="2:14" ht="13.5" thickBot="1" x14ac:dyDescent="0.25">
      <c r="B27" s="20" t="s">
        <v>55</v>
      </c>
      <c r="C27" s="21"/>
      <c r="D27" s="21" t="s">
        <v>30</v>
      </c>
      <c r="E27" s="5" t="s">
        <v>5</v>
      </c>
      <c r="F27" s="1"/>
      <c r="G27" s="21" t="s">
        <v>13</v>
      </c>
    </row>
    <row r="28" spans="2:14" x14ac:dyDescent="0.2">
      <c r="B28" s="90"/>
      <c r="C28" s="90"/>
      <c r="D28" s="93">
        <f>K28*100/2/L28</f>
        <v>6.2044082102048517</v>
      </c>
      <c r="E28" s="185">
        <v>8</v>
      </c>
      <c r="F28" s="38"/>
      <c r="G28" s="92" t="str">
        <f>IF(J28,"use min."," ")</f>
        <v xml:space="preserve"> </v>
      </c>
      <c r="J28" s="30" t="b">
        <f>D19&lt;J19</f>
        <v>0</v>
      </c>
      <c r="K28" s="30">
        <f>(D19-0.5*J19)*D15*1.15/C9</f>
        <v>6.2341893696138358E-2</v>
      </c>
      <c r="L28" s="30">
        <f>3.14/4*E28^2/100</f>
        <v>0.50240000000000007</v>
      </c>
    </row>
    <row r="29" spans="2:14" x14ac:dyDescent="0.2">
      <c r="B29" s="90"/>
      <c r="C29" s="90"/>
      <c r="D29" s="90"/>
      <c r="E29" s="94"/>
      <c r="F29" s="38"/>
      <c r="G29" s="90"/>
      <c r="N29" s="95"/>
    </row>
    <row r="30" spans="2:14" ht="13.5" thickBot="1" x14ac:dyDescent="0.25">
      <c r="B30" s="20" t="s">
        <v>56</v>
      </c>
      <c r="C30" s="21"/>
      <c r="D30" s="21" t="s">
        <v>30</v>
      </c>
      <c r="E30" s="5" t="s">
        <v>5</v>
      </c>
      <c r="F30" s="1"/>
      <c r="G30" s="21" t="s">
        <v>13</v>
      </c>
      <c r="K30" s="30">
        <f>0.66+0.33*(E15-5)/(D15-5)</f>
        <v>1.518</v>
      </c>
      <c r="L30" s="30" t="b">
        <f>K30&gt;1.5</f>
        <v>1</v>
      </c>
      <c r="M30" s="30">
        <f>IF(L30,1.5,K30)</f>
        <v>1.5</v>
      </c>
    </row>
    <row r="31" spans="2:14" x14ac:dyDescent="0.2">
      <c r="B31" s="90"/>
      <c r="C31" s="90"/>
      <c r="D31" s="93">
        <f>K31/L31*100</f>
        <v>5.2944283393748073</v>
      </c>
      <c r="E31" s="185">
        <v>10</v>
      </c>
      <c r="F31" s="38"/>
      <c r="G31" s="92" t="str">
        <f>IF(J31,"use min."," ")</f>
        <v xml:space="preserve"> </v>
      </c>
      <c r="J31" s="96" t="b">
        <f>D22&lt;K19</f>
        <v>0</v>
      </c>
      <c r="K31" s="30">
        <f>(D22-0.5*K19)*D15^2*E15*1.15/3/(D15-5)/(E15-5)/C9/M30</f>
        <v>4.1561262464092238E-2</v>
      </c>
      <c r="L31" s="30">
        <f>3.14/4*E31^2/100</f>
        <v>0.78500000000000003</v>
      </c>
    </row>
    <row r="32" spans="2:14" x14ac:dyDescent="0.2">
      <c r="B32" s="97"/>
      <c r="C32" s="97"/>
      <c r="D32" s="97"/>
      <c r="E32" s="98"/>
      <c r="G32" s="97"/>
    </row>
    <row r="33" spans="2:12" ht="13.5" thickBot="1" x14ac:dyDescent="0.25">
      <c r="B33" s="20" t="s">
        <v>60</v>
      </c>
      <c r="C33" s="21"/>
      <c r="D33" s="21" t="s">
        <v>30</v>
      </c>
      <c r="E33" s="5" t="s">
        <v>5</v>
      </c>
    </row>
    <row r="34" spans="2:12" x14ac:dyDescent="0.2">
      <c r="B34" s="90"/>
      <c r="C34" s="90"/>
      <c r="D34" s="99">
        <f>INT(L34+1)</f>
        <v>7</v>
      </c>
      <c r="E34" s="186">
        <v>10</v>
      </c>
      <c r="F34" s="38"/>
      <c r="G34" s="100"/>
      <c r="J34" s="30">
        <f>2*K31*((D15-5)+(E15-5))*C9/C10</f>
        <v>4.9873514956910681</v>
      </c>
      <c r="K34" s="30">
        <f>3.14*E34^2/4/100</f>
        <v>0.78500000000000003</v>
      </c>
      <c r="L34" s="30">
        <f>J34/K34</f>
        <v>6.353314007249768</v>
      </c>
    </row>
    <row r="36" spans="2:12" x14ac:dyDescent="0.2">
      <c r="D36" s="101"/>
      <c r="E36" s="101"/>
      <c r="F36" s="102"/>
      <c r="G36" s="38"/>
    </row>
  </sheetData>
  <sheetProtection sheet="1" objects="1" scenarios="1"/>
  <mergeCells count="2">
    <mergeCell ref="D13:E13"/>
    <mergeCell ref="C4:I4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&amp;R&amp;"Arial,Bold Italic"&amp;9Concrete Design using the ultimate limit design method.</oddHeader>
    <oddFooter>&amp;L&amp;"Arial,Bold Italic"&amp;9By: Eng. Mahmoud El-Kateb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C4" sqref="C4:M4"/>
    </sheetView>
  </sheetViews>
  <sheetFormatPr defaultColWidth="9.140625" defaultRowHeight="12.75" x14ac:dyDescent="0.2"/>
  <cols>
    <col min="1" max="1" width="5.42578125" style="30" customWidth="1"/>
    <col min="2" max="2" width="14.85546875" style="30" customWidth="1"/>
    <col min="3" max="3" width="7.7109375" style="30" customWidth="1"/>
    <col min="4" max="6" width="8.28515625" style="30" customWidth="1"/>
    <col min="7" max="7" width="6.85546875" style="30" customWidth="1"/>
    <col min="8" max="8" width="3.42578125" style="30" customWidth="1"/>
    <col min="9" max="9" width="7" style="30" customWidth="1"/>
    <col min="10" max="10" width="10.28515625" style="30" hidden="1" customWidth="1"/>
    <col min="11" max="12" width="0" style="30" hidden="1" customWidth="1"/>
    <col min="13" max="16384" width="9.140625" style="30"/>
  </cols>
  <sheetData>
    <row r="1" spans="1:13" ht="22.5" x14ac:dyDescent="0.3">
      <c r="A1" s="34" t="s">
        <v>236</v>
      </c>
    </row>
    <row r="4" spans="1:13" ht="18.75" x14ac:dyDescent="0.3">
      <c r="B4" s="35" t="s">
        <v>33</v>
      </c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</row>
    <row r="5" spans="1:13" ht="15.75" x14ac:dyDescent="0.25">
      <c r="B5" s="36"/>
    </row>
    <row r="6" spans="1:13" ht="13.5" thickBot="1" x14ac:dyDescent="0.25"/>
    <row r="7" spans="1:13" ht="22.5" customHeight="1" thickTop="1" x14ac:dyDescent="0.3">
      <c r="B7" s="52" t="s">
        <v>9</v>
      </c>
      <c r="C7" s="165">
        <v>225</v>
      </c>
      <c r="D7" s="53" t="s">
        <v>8</v>
      </c>
    </row>
    <row r="8" spans="1:13" ht="22.5" customHeight="1" thickBot="1" x14ac:dyDescent="0.35">
      <c r="B8" s="54" t="s">
        <v>44</v>
      </c>
      <c r="C8" s="166">
        <v>3600</v>
      </c>
      <c r="D8" s="55" t="s">
        <v>8</v>
      </c>
    </row>
    <row r="9" spans="1:13" ht="15.75" thickTop="1" x14ac:dyDescent="0.25">
      <c r="B9" s="50"/>
      <c r="C9" s="40"/>
      <c r="D9" s="50"/>
    </row>
    <row r="10" spans="1:13" ht="13.5" thickBot="1" x14ac:dyDescent="0.25"/>
    <row r="11" spans="1:13" ht="15" customHeight="1" x14ac:dyDescent="0.2">
      <c r="A11" s="268" t="s">
        <v>88</v>
      </c>
      <c r="B11" s="6" t="s">
        <v>84</v>
      </c>
      <c r="C11" s="16" t="s">
        <v>86</v>
      </c>
      <c r="D11" s="266" t="s">
        <v>140</v>
      </c>
      <c r="E11" s="293"/>
      <c r="F11" s="16" t="s">
        <v>2</v>
      </c>
      <c r="G11" s="281" t="s">
        <v>202</v>
      </c>
      <c r="H11" s="282"/>
      <c r="I11" s="289"/>
    </row>
    <row r="12" spans="1:13" ht="17.25" customHeight="1" thickBot="1" x14ac:dyDescent="0.3">
      <c r="A12" s="269"/>
      <c r="B12" s="8" t="s">
        <v>85</v>
      </c>
      <c r="C12" s="18" t="s">
        <v>87</v>
      </c>
      <c r="D12" s="26" t="s">
        <v>3</v>
      </c>
      <c r="E12" s="22" t="s">
        <v>23</v>
      </c>
      <c r="F12" s="17" t="s">
        <v>184</v>
      </c>
      <c r="G12" s="284"/>
      <c r="H12" s="285"/>
      <c r="I12" s="290"/>
    </row>
    <row r="13" spans="1:13" ht="15" customHeight="1" x14ac:dyDescent="0.2">
      <c r="A13" s="103"/>
      <c r="B13" s="104"/>
      <c r="C13" s="74">
        <v>1</v>
      </c>
      <c r="D13" s="192">
        <v>25</v>
      </c>
      <c r="E13" s="105">
        <f t="shared" ref="E13:E45" si="0">INT(0.2*L13)*5+5</f>
        <v>65</v>
      </c>
      <c r="F13" s="56">
        <f>0.01*D13*E13</f>
        <v>16.25</v>
      </c>
      <c r="G13" s="79">
        <f t="shared" ref="G13:G45" si="1">INT(F13*400/3.14/I13^2)+1</f>
        <v>9</v>
      </c>
      <c r="H13" s="75" t="s">
        <v>5</v>
      </c>
      <c r="I13" s="196">
        <v>16</v>
      </c>
      <c r="J13" s="30">
        <f>0.51-0.0004*$C$7</f>
        <v>0.42</v>
      </c>
      <c r="K13" s="30">
        <f>$B$14*1000/J13/$C$7</f>
        <v>1587.3015873015875</v>
      </c>
      <c r="L13" s="30">
        <f t="shared" ref="L13:L45" si="2">K13/D13</f>
        <v>63.492063492063501</v>
      </c>
    </row>
    <row r="14" spans="1:13" ht="15" customHeight="1" x14ac:dyDescent="0.2">
      <c r="A14" s="187">
        <v>1</v>
      </c>
      <c r="B14" s="188">
        <v>150</v>
      </c>
      <c r="C14" s="74">
        <v>1.3</v>
      </c>
      <c r="D14" s="192">
        <v>25</v>
      </c>
      <c r="E14" s="105">
        <f t="shared" si="0"/>
        <v>60</v>
      </c>
      <c r="F14" s="56">
        <f>0.013*D14*E14</f>
        <v>19.5</v>
      </c>
      <c r="G14" s="79">
        <f t="shared" si="1"/>
        <v>10</v>
      </c>
      <c r="H14" s="76" t="s">
        <v>5</v>
      </c>
      <c r="I14" s="196">
        <v>16</v>
      </c>
      <c r="J14" s="30">
        <f>0.54-0.0004*$C$7</f>
        <v>0.45</v>
      </c>
      <c r="K14" s="30">
        <f>$B$14*1000/J14/$C$7</f>
        <v>1481.4814814814813</v>
      </c>
      <c r="L14" s="30">
        <f t="shared" si="2"/>
        <v>59.259259259259252</v>
      </c>
    </row>
    <row r="15" spans="1:13" ht="15" customHeight="1" thickBot="1" x14ac:dyDescent="0.25">
      <c r="A15" s="187"/>
      <c r="B15" s="188"/>
      <c r="C15" s="106">
        <v>1.6</v>
      </c>
      <c r="D15" s="193">
        <v>25</v>
      </c>
      <c r="E15" s="107">
        <f t="shared" si="0"/>
        <v>55</v>
      </c>
      <c r="F15" s="108">
        <f>0.016*D15*E15</f>
        <v>22</v>
      </c>
      <c r="G15" s="117">
        <f t="shared" si="1"/>
        <v>9</v>
      </c>
      <c r="H15" s="109" t="s">
        <v>5</v>
      </c>
      <c r="I15" s="197">
        <v>18</v>
      </c>
      <c r="J15" s="30">
        <f>0.62-0.0006*$C$7</f>
        <v>0.48499999999999999</v>
      </c>
      <c r="K15" s="30">
        <f>$B$14*1000/J15/$C$7</f>
        <v>1374.5704467353951</v>
      </c>
      <c r="L15" s="30">
        <f t="shared" si="2"/>
        <v>54.982817869415804</v>
      </c>
    </row>
    <row r="16" spans="1:13" ht="15" customHeight="1" x14ac:dyDescent="0.2">
      <c r="A16" s="189"/>
      <c r="B16" s="190"/>
      <c r="C16" s="110">
        <v>1</v>
      </c>
      <c r="D16" s="194">
        <v>25</v>
      </c>
      <c r="E16" s="111">
        <f t="shared" si="0"/>
        <v>85</v>
      </c>
      <c r="F16" s="112">
        <f>0.01*D16*E16</f>
        <v>21.25</v>
      </c>
      <c r="G16" s="118">
        <f t="shared" si="1"/>
        <v>11</v>
      </c>
      <c r="H16" s="75" t="s">
        <v>5</v>
      </c>
      <c r="I16" s="198">
        <v>16</v>
      </c>
      <c r="J16" s="30">
        <f>0.51-0.0004*$C$7</f>
        <v>0.42</v>
      </c>
      <c r="K16" s="30">
        <f>$B$17*1000/J16/$C$7</f>
        <v>2116.4021164021165</v>
      </c>
      <c r="L16" s="30">
        <f t="shared" si="2"/>
        <v>84.656084656084658</v>
      </c>
    </row>
    <row r="17" spans="1:12" ht="15" customHeight="1" x14ac:dyDescent="0.2">
      <c r="A17" s="187">
        <v>2</v>
      </c>
      <c r="B17" s="188">
        <v>200</v>
      </c>
      <c r="C17" s="74">
        <v>1.3</v>
      </c>
      <c r="D17" s="192">
        <v>25</v>
      </c>
      <c r="E17" s="105">
        <f t="shared" si="0"/>
        <v>80</v>
      </c>
      <c r="F17" s="56">
        <f>0.013*D17*E17</f>
        <v>26</v>
      </c>
      <c r="G17" s="79">
        <f t="shared" si="1"/>
        <v>13</v>
      </c>
      <c r="H17" s="76" t="s">
        <v>5</v>
      </c>
      <c r="I17" s="196">
        <v>16</v>
      </c>
      <c r="J17" s="30">
        <f>0.54-0.0004*$C$7</f>
        <v>0.45</v>
      </c>
      <c r="K17" s="30">
        <f>$B$17*1000/J17/$C$7</f>
        <v>1975.3086419753085</v>
      </c>
      <c r="L17" s="30">
        <f t="shared" si="2"/>
        <v>79.012345679012341</v>
      </c>
    </row>
    <row r="18" spans="1:12" ht="15" customHeight="1" thickBot="1" x14ac:dyDescent="0.25">
      <c r="A18" s="191"/>
      <c r="B18" s="164"/>
      <c r="C18" s="114">
        <v>1.6</v>
      </c>
      <c r="D18" s="195">
        <v>25</v>
      </c>
      <c r="E18" s="115">
        <f t="shared" si="0"/>
        <v>75</v>
      </c>
      <c r="F18" s="116">
        <f>0.016*D18*E18</f>
        <v>30</v>
      </c>
      <c r="G18" s="119">
        <f t="shared" si="1"/>
        <v>12</v>
      </c>
      <c r="H18" s="109" t="s">
        <v>5</v>
      </c>
      <c r="I18" s="199">
        <v>18</v>
      </c>
      <c r="J18" s="30">
        <f>0.62-0.0006*$C$7</f>
        <v>0.48499999999999999</v>
      </c>
      <c r="K18" s="30">
        <f>$B$17*1000/J18/$C$7</f>
        <v>1832.7605956471937</v>
      </c>
      <c r="L18" s="30">
        <f t="shared" si="2"/>
        <v>73.310423825887753</v>
      </c>
    </row>
    <row r="19" spans="1:12" ht="15" customHeight="1" x14ac:dyDescent="0.2">
      <c r="A19" s="187"/>
      <c r="B19" s="188"/>
      <c r="C19" s="74">
        <v>1</v>
      </c>
      <c r="D19" s="192">
        <v>25</v>
      </c>
      <c r="E19" s="105">
        <f t="shared" si="0"/>
        <v>55</v>
      </c>
      <c r="F19" s="56">
        <f>0.01*D19*E19</f>
        <v>13.75</v>
      </c>
      <c r="G19" s="79">
        <f t="shared" si="1"/>
        <v>7</v>
      </c>
      <c r="H19" s="75" t="s">
        <v>5</v>
      </c>
      <c r="I19" s="196">
        <v>16</v>
      </c>
      <c r="J19" s="30">
        <f>0.51-0.0004*$C$7</f>
        <v>0.42</v>
      </c>
      <c r="K19" s="30">
        <f>$B$20*1000/J19/$C$7</f>
        <v>1269.8412698412699</v>
      </c>
      <c r="L19" s="30">
        <f t="shared" si="2"/>
        <v>50.793650793650798</v>
      </c>
    </row>
    <row r="20" spans="1:12" ht="15" customHeight="1" x14ac:dyDescent="0.2">
      <c r="A20" s="187">
        <v>3</v>
      </c>
      <c r="B20" s="188">
        <v>120</v>
      </c>
      <c r="C20" s="74">
        <v>1.3</v>
      </c>
      <c r="D20" s="192">
        <v>25</v>
      </c>
      <c r="E20" s="105">
        <f t="shared" si="0"/>
        <v>50</v>
      </c>
      <c r="F20" s="56">
        <f>0.013*D20*E20</f>
        <v>16.25</v>
      </c>
      <c r="G20" s="79">
        <f t="shared" si="1"/>
        <v>9</v>
      </c>
      <c r="H20" s="76" t="s">
        <v>5</v>
      </c>
      <c r="I20" s="196">
        <v>16</v>
      </c>
      <c r="J20" s="30">
        <f>0.54-0.0004*$C$7</f>
        <v>0.45</v>
      </c>
      <c r="K20" s="30">
        <f>$B$20*1000/J20/$C$7</f>
        <v>1185.1851851851852</v>
      </c>
      <c r="L20" s="30">
        <f t="shared" si="2"/>
        <v>47.407407407407412</v>
      </c>
    </row>
    <row r="21" spans="1:12" ht="15" customHeight="1" thickBot="1" x14ac:dyDescent="0.25">
      <c r="A21" s="191"/>
      <c r="B21" s="164"/>
      <c r="C21" s="114">
        <v>1.6</v>
      </c>
      <c r="D21" s="195">
        <v>25</v>
      </c>
      <c r="E21" s="115">
        <f t="shared" si="0"/>
        <v>45</v>
      </c>
      <c r="F21" s="116">
        <f>0.016*D21*E21</f>
        <v>18</v>
      </c>
      <c r="G21" s="119">
        <f t="shared" si="1"/>
        <v>8</v>
      </c>
      <c r="H21" s="109" t="s">
        <v>5</v>
      </c>
      <c r="I21" s="199">
        <v>18</v>
      </c>
      <c r="J21" s="30">
        <f>0.62-0.0006*$C$7</f>
        <v>0.48499999999999999</v>
      </c>
      <c r="K21" s="30">
        <f>$B$20*1000/J21/$C$7</f>
        <v>1099.6563573883161</v>
      </c>
      <c r="L21" s="30">
        <f t="shared" si="2"/>
        <v>43.986254295532646</v>
      </c>
    </row>
    <row r="22" spans="1:12" ht="15" customHeight="1" x14ac:dyDescent="0.2">
      <c r="A22" s="187"/>
      <c r="B22" s="188"/>
      <c r="C22" s="74">
        <v>1</v>
      </c>
      <c r="D22" s="192">
        <v>25</v>
      </c>
      <c r="E22" s="105">
        <f t="shared" si="0"/>
        <v>65</v>
      </c>
      <c r="F22" s="56">
        <f>0.01*D22*E22</f>
        <v>16.25</v>
      </c>
      <c r="G22" s="79">
        <f t="shared" si="1"/>
        <v>9</v>
      </c>
      <c r="H22" s="75" t="s">
        <v>5</v>
      </c>
      <c r="I22" s="196">
        <v>16</v>
      </c>
      <c r="J22" s="30">
        <f>0.51-0.0004*$C$7</f>
        <v>0.42</v>
      </c>
      <c r="K22" s="30">
        <f>$B$23*1000/J22/$C$7</f>
        <v>1587.3015873015875</v>
      </c>
      <c r="L22" s="30">
        <f t="shared" si="2"/>
        <v>63.492063492063501</v>
      </c>
    </row>
    <row r="23" spans="1:12" ht="15" customHeight="1" x14ac:dyDescent="0.2">
      <c r="A23" s="187">
        <v>4</v>
      </c>
      <c r="B23" s="188">
        <v>150</v>
      </c>
      <c r="C23" s="74">
        <v>1.3</v>
      </c>
      <c r="D23" s="192">
        <v>25</v>
      </c>
      <c r="E23" s="105">
        <f t="shared" si="0"/>
        <v>60</v>
      </c>
      <c r="F23" s="56">
        <f>0.013*D23*E23</f>
        <v>19.5</v>
      </c>
      <c r="G23" s="79">
        <f t="shared" si="1"/>
        <v>10</v>
      </c>
      <c r="H23" s="76" t="s">
        <v>5</v>
      </c>
      <c r="I23" s="196">
        <v>16</v>
      </c>
      <c r="J23" s="30">
        <f>0.54-0.0004*$C$7</f>
        <v>0.45</v>
      </c>
      <c r="K23" s="30">
        <f>$B$23*1000/J23/$C$7</f>
        <v>1481.4814814814813</v>
      </c>
      <c r="L23" s="30">
        <f t="shared" si="2"/>
        <v>59.259259259259252</v>
      </c>
    </row>
    <row r="24" spans="1:12" ht="15" customHeight="1" thickBot="1" x14ac:dyDescent="0.25">
      <c r="A24" s="191"/>
      <c r="B24" s="164"/>
      <c r="C24" s="114">
        <v>1.6</v>
      </c>
      <c r="D24" s="195">
        <v>25</v>
      </c>
      <c r="E24" s="115">
        <f t="shared" si="0"/>
        <v>55</v>
      </c>
      <c r="F24" s="116">
        <f>0.016*D24*E24</f>
        <v>22</v>
      </c>
      <c r="G24" s="119">
        <f t="shared" si="1"/>
        <v>9</v>
      </c>
      <c r="H24" s="109" t="s">
        <v>5</v>
      </c>
      <c r="I24" s="199">
        <v>18</v>
      </c>
      <c r="J24" s="30">
        <f>0.62-0.0006*$C$7</f>
        <v>0.48499999999999999</v>
      </c>
      <c r="K24" s="30">
        <f>$B$23*1000/J24/$C$7</f>
        <v>1374.5704467353951</v>
      </c>
      <c r="L24" s="30">
        <f t="shared" si="2"/>
        <v>54.982817869415804</v>
      </c>
    </row>
    <row r="25" spans="1:12" ht="15" customHeight="1" x14ac:dyDescent="0.2">
      <c r="A25" s="187"/>
      <c r="B25" s="188"/>
      <c r="C25" s="74">
        <v>1</v>
      </c>
      <c r="D25" s="192">
        <v>30</v>
      </c>
      <c r="E25" s="105">
        <f t="shared" si="0"/>
        <v>65</v>
      </c>
      <c r="F25" s="56">
        <f>0.01*D25*E25</f>
        <v>19.5</v>
      </c>
      <c r="G25" s="79">
        <f t="shared" si="1"/>
        <v>10</v>
      </c>
      <c r="H25" s="75" t="s">
        <v>5</v>
      </c>
      <c r="I25" s="196">
        <v>16</v>
      </c>
      <c r="J25" s="30">
        <f>0.51-0.0004*$C$7</f>
        <v>0.42</v>
      </c>
      <c r="K25" s="30">
        <f>$B$26*1000/J25/$C$7</f>
        <v>1904.7619047619048</v>
      </c>
      <c r="L25" s="30">
        <f t="shared" si="2"/>
        <v>63.492063492063494</v>
      </c>
    </row>
    <row r="26" spans="1:12" ht="15" customHeight="1" x14ac:dyDescent="0.2">
      <c r="A26" s="187">
        <v>5</v>
      </c>
      <c r="B26" s="188">
        <v>180</v>
      </c>
      <c r="C26" s="74">
        <v>1.3</v>
      </c>
      <c r="D26" s="192">
        <v>30</v>
      </c>
      <c r="E26" s="105">
        <f t="shared" si="0"/>
        <v>60</v>
      </c>
      <c r="F26" s="56">
        <f>0.013*D26*E26</f>
        <v>23.4</v>
      </c>
      <c r="G26" s="79">
        <f t="shared" si="1"/>
        <v>12</v>
      </c>
      <c r="H26" s="76" t="s">
        <v>5</v>
      </c>
      <c r="I26" s="196">
        <v>16</v>
      </c>
      <c r="J26" s="30">
        <f>0.54-0.0004*$C$7</f>
        <v>0.45</v>
      </c>
      <c r="K26" s="30">
        <f>$B$26*1000/J26/$C$7</f>
        <v>1777.7777777777778</v>
      </c>
      <c r="L26" s="30">
        <f t="shared" si="2"/>
        <v>59.25925925925926</v>
      </c>
    </row>
    <row r="27" spans="1:12" ht="15" customHeight="1" thickBot="1" x14ac:dyDescent="0.25">
      <c r="A27" s="191"/>
      <c r="B27" s="164"/>
      <c r="C27" s="114">
        <v>1.6</v>
      </c>
      <c r="D27" s="195">
        <v>30</v>
      </c>
      <c r="E27" s="115">
        <f t="shared" si="0"/>
        <v>55</v>
      </c>
      <c r="F27" s="116">
        <f>0.016*D27*E27</f>
        <v>26.4</v>
      </c>
      <c r="G27" s="119">
        <f t="shared" si="1"/>
        <v>11</v>
      </c>
      <c r="H27" s="109" t="s">
        <v>5</v>
      </c>
      <c r="I27" s="199">
        <v>18</v>
      </c>
      <c r="J27" s="30">
        <f>0.62-0.0006*$C$7</f>
        <v>0.48499999999999999</v>
      </c>
      <c r="K27" s="30">
        <f>$B$26*1000/J27/$C$7</f>
        <v>1649.4845360824743</v>
      </c>
      <c r="L27" s="30">
        <f t="shared" si="2"/>
        <v>54.982817869415811</v>
      </c>
    </row>
    <row r="28" spans="1:12" ht="15" customHeight="1" x14ac:dyDescent="0.2">
      <c r="A28" s="187"/>
      <c r="B28" s="188"/>
      <c r="C28" s="74">
        <v>1</v>
      </c>
      <c r="D28" s="192">
        <v>30</v>
      </c>
      <c r="E28" s="105">
        <f t="shared" si="0"/>
        <v>75</v>
      </c>
      <c r="F28" s="56">
        <f>0.01*D28*E28</f>
        <v>22.5</v>
      </c>
      <c r="G28" s="79">
        <f t="shared" si="1"/>
        <v>12</v>
      </c>
      <c r="H28" s="75" t="s">
        <v>5</v>
      </c>
      <c r="I28" s="196">
        <v>16</v>
      </c>
      <c r="J28" s="30">
        <f>0.51-0.0004*$C$7</f>
        <v>0.42</v>
      </c>
      <c r="K28" s="30">
        <f>$B$29*1000/J28/$C$7</f>
        <v>2222.2222222222222</v>
      </c>
      <c r="L28" s="30">
        <f t="shared" si="2"/>
        <v>74.074074074074076</v>
      </c>
    </row>
    <row r="29" spans="1:12" ht="15" customHeight="1" x14ac:dyDescent="0.2">
      <c r="A29" s="187">
        <v>6</v>
      </c>
      <c r="B29" s="188">
        <v>210</v>
      </c>
      <c r="C29" s="74">
        <v>1.3</v>
      </c>
      <c r="D29" s="192">
        <v>30</v>
      </c>
      <c r="E29" s="105">
        <f t="shared" si="0"/>
        <v>70</v>
      </c>
      <c r="F29" s="56">
        <f>0.013*D29*E29</f>
        <v>27.299999999999997</v>
      </c>
      <c r="G29" s="79">
        <f t="shared" si="1"/>
        <v>14</v>
      </c>
      <c r="H29" s="76" t="s">
        <v>5</v>
      </c>
      <c r="I29" s="196">
        <v>16</v>
      </c>
      <c r="J29" s="30">
        <f>0.54-0.0004*$C$7</f>
        <v>0.45</v>
      </c>
      <c r="K29" s="30">
        <f>$B$29*1000/J29/$C$7</f>
        <v>2074.0740740740739</v>
      </c>
      <c r="L29" s="30">
        <f t="shared" si="2"/>
        <v>69.135802469135797</v>
      </c>
    </row>
    <row r="30" spans="1:12" ht="15" customHeight="1" thickBot="1" x14ac:dyDescent="0.25">
      <c r="A30" s="191"/>
      <c r="B30" s="164"/>
      <c r="C30" s="114">
        <v>1.6</v>
      </c>
      <c r="D30" s="195">
        <v>30</v>
      </c>
      <c r="E30" s="115">
        <f t="shared" si="0"/>
        <v>65</v>
      </c>
      <c r="F30" s="116">
        <f>0.016*D30*E30</f>
        <v>31.2</v>
      </c>
      <c r="G30" s="119">
        <f t="shared" si="1"/>
        <v>13</v>
      </c>
      <c r="H30" s="109" t="s">
        <v>5</v>
      </c>
      <c r="I30" s="199">
        <v>18</v>
      </c>
      <c r="J30" s="30">
        <f>0.62-0.0006*$C$7</f>
        <v>0.48499999999999999</v>
      </c>
      <c r="K30" s="30">
        <f>$B$29*1000/J30/$C$7</f>
        <v>1924.3986254295532</v>
      </c>
      <c r="L30" s="30">
        <f t="shared" si="2"/>
        <v>64.146620847651775</v>
      </c>
    </row>
    <row r="31" spans="1:12" ht="15" customHeight="1" x14ac:dyDescent="0.2">
      <c r="A31" s="187"/>
      <c r="B31" s="188"/>
      <c r="C31" s="74">
        <v>1</v>
      </c>
      <c r="D31" s="192">
        <v>30</v>
      </c>
      <c r="E31" s="105">
        <f t="shared" si="0"/>
        <v>85</v>
      </c>
      <c r="F31" s="56">
        <f>0.01*D31*E31</f>
        <v>25.5</v>
      </c>
      <c r="G31" s="79">
        <f t="shared" si="1"/>
        <v>13</v>
      </c>
      <c r="H31" s="75" t="s">
        <v>5</v>
      </c>
      <c r="I31" s="196">
        <v>16</v>
      </c>
      <c r="J31" s="30">
        <f>0.51-0.0004*$C$7</f>
        <v>0.42</v>
      </c>
      <c r="K31" s="30">
        <f>$B$32*1000/J31/$C$7</f>
        <v>2539.6825396825398</v>
      </c>
      <c r="L31" s="30">
        <f t="shared" si="2"/>
        <v>84.656084656084658</v>
      </c>
    </row>
    <row r="32" spans="1:12" ht="15" customHeight="1" x14ac:dyDescent="0.2">
      <c r="A32" s="187">
        <v>7</v>
      </c>
      <c r="B32" s="188">
        <v>240</v>
      </c>
      <c r="C32" s="74">
        <v>1.3</v>
      </c>
      <c r="D32" s="192">
        <v>30</v>
      </c>
      <c r="E32" s="105">
        <f t="shared" si="0"/>
        <v>80</v>
      </c>
      <c r="F32" s="56">
        <f>0.013*D32*E32</f>
        <v>31.199999999999996</v>
      </c>
      <c r="G32" s="79">
        <f t="shared" si="1"/>
        <v>16</v>
      </c>
      <c r="H32" s="76" t="s">
        <v>5</v>
      </c>
      <c r="I32" s="196">
        <v>16</v>
      </c>
      <c r="J32" s="30">
        <f>0.54-0.0004*$C$7</f>
        <v>0.45</v>
      </c>
      <c r="K32" s="30">
        <f>$B$32*1000/J32/$C$7</f>
        <v>2370.3703703703704</v>
      </c>
      <c r="L32" s="30">
        <f t="shared" si="2"/>
        <v>79.012345679012341</v>
      </c>
    </row>
    <row r="33" spans="1:12" ht="15" customHeight="1" thickBot="1" x14ac:dyDescent="0.25">
      <c r="A33" s="191"/>
      <c r="B33" s="164"/>
      <c r="C33" s="114">
        <v>1.6</v>
      </c>
      <c r="D33" s="195">
        <v>30</v>
      </c>
      <c r="E33" s="115">
        <f t="shared" si="0"/>
        <v>75</v>
      </c>
      <c r="F33" s="116">
        <f>0.016*D33*E33</f>
        <v>36</v>
      </c>
      <c r="G33" s="119">
        <f t="shared" si="1"/>
        <v>15</v>
      </c>
      <c r="H33" s="109" t="s">
        <v>5</v>
      </c>
      <c r="I33" s="199">
        <v>18</v>
      </c>
      <c r="J33" s="30">
        <f>0.62-0.0006*$C$7</f>
        <v>0.48499999999999999</v>
      </c>
      <c r="K33" s="30">
        <f>$B$32*1000/J33/$C$7</f>
        <v>2199.3127147766322</v>
      </c>
      <c r="L33" s="30">
        <f t="shared" si="2"/>
        <v>73.310423825887739</v>
      </c>
    </row>
    <row r="34" spans="1:12" ht="15" customHeight="1" x14ac:dyDescent="0.2">
      <c r="A34" s="187"/>
      <c r="B34" s="188"/>
      <c r="C34" s="74">
        <v>1</v>
      </c>
      <c r="D34" s="192">
        <v>30</v>
      </c>
      <c r="E34" s="105">
        <f t="shared" si="0"/>
        <v>100</v>
      </c>
      <c r="F34" s="56">
        <f>0.01*D34*E34</f>
        <v>30</v>
      </c>
      <c r="G34" s="79">
        <f t="shared" si="1"/>
        <v>15</v>
      </c>
      <c r="H34" s="75" t="s">
        <v>5</v>
      </c>
      <c r="I34" s="196">
        <v>16</v>
      </c>
      <c r="J34" s="30">
        <f>0.51-0.0004*$C$7</f>
        <v>0.42</v>
      </c>
      <c r="K34" s="30">
        <f>$B$35*1000/J34/$C$7</f>
        <v>2857.1428571428569</v>
      </c>
      <c r="L34" s="30">
        <f t="shared" si="2"/>
        <v>95.238095238095227</v>
      </c>
    </row>
    <row r="35" spans="1:12" ht="15" customHeight="1" x14ac:dyDescent="0.2">
      <c r="A35" s="187">
        <v>8</v>
      </c>
      <c r="B35" s="188">
        <v>270</v>
      </c>
      <c r="C35" s="74">
        <v>1.3</v>
      </c>
      <c r="D35" s="192">
        <v>30</v>
      </c>
      <c r="E35" s="105">
        <f t="shared" si="0"/>
        <v>90</v>
      </c>
      <c r="F35" s="56">
        <f>0.013*D35*E35</f>
        <v>35.099999999999994</v>
      </c>
      <c r="G35" s="79">
        <f t="shared" si="1"/>
        <v>18</v>
      </c>
      <c r="H35" s="76" t="s">
        <v>5</v>
      </c>
      <c r="I35" s="196">
        <v>16</v>
      </c>
      <c r="J35" s="30">
        <f>0.54-0.0004*$C$7</f>
        <v>0.45</v>
      </c>
      <c r="K35" s="30">
        <f>$B$35*1000/J35/$C$7</f>
        <v>2666.6666666666665</v>
      </c>
      <c r="L35" s="30">
        <f t="shared" si="2"/>
        <v>88.888888888888886</v>
      </c>
    </row>
    <row r="36" spans="1:12" ht="15" customHeight="1" thickBot="1" x14ac:dyDescent="0.25">
      <c r="A36" s="191"/>
      <c r="B36" s="164"/>
      <c r="C36" s="114">
        <v>1.6</v>
      </c>
      <c r="D36" s="195">
        <v>30</v>
      </c>
      <c r="E36" s="115">
        <f t="shared" si="0"/>
        <v>85</v>
      </c>
      <c r="F36" s="116">
        <f>0.016*D36*E36</f>
        <v>40.799999999999997</v>
      </c>
      <c r="G36" s="119">
        <f t="shared" si="1"/>
        <v>17</v>
      </c>
      <c r="H36" s="109" t="s">
        <v>5</v>
      </c>
      <c r="I36" s="199">
        <v>18</v>
      </c>
      <c r="J36" s="30">
        <f>0.62-0.0006*$C$7</f>
        <v>0.48499999999999999</v>
      </c>
      <c r="K36" s="30">
        <f>$B$35*1000/J36/$C$7</f>
        <v>2474.2268041237112</v>
      </c>
      <c r="L36" s="30">
        <f t="shared" si="2"/>
        <v>82.474226804123703</v>
      </c>
    </row>
    <row r="37" spans="1:12" ht="15" customHeight="1" x14ac:dyDescent="0.2">
      <c r="A37" s="187"/>
      <c r="B37" s="188"/>
      <c r="C37" s="74">
        <v>1</v>
      </c>
      <c r="D37" s="192">
        <v>30</v>
      </c>
      <c r="E37" s="105">
        <f t="shared" si="0"/>
        <v>110</v>
      </c>
      <c r="F37" s="56">
        <f>0.01*D37*E37</f>
        <v>33</v>
      </c>
      <c r="G37" s="79">
        <f t="shared" si="1"/>
        <v>17</v>
      </c>
      <c r="H37" s="75" t="s">
        <v>5</v>
      </c>
      <c r="I37" s="196">
        <v>16</v>
      </c>
      <c r="J37" s="30">
        <f>0.51-0.0004*$C$7</f>
        <v>0.42</v>
      </c>
      <c r="K37" s="30">
        <f>$B$38*1000/J37/$C$7</f>
        <v>3174.6031746031749</v>
      </c>
      <c r="L37" s="30">
        <f t="shared" si="2"/>
        <v>105.82010582010584</v>
      </c>
    </row>
    <row r="38" spans="1:12" ht="15" customHeight="1" x14ac:dyDescent="0.2">
      <c r="A38" s="187">
        <v>9</v>
      </c>
      <c r="B38" s="188">
        <v>300</v>
      </c>
      <c r="C38" s="74">
        <v>1.3</v>
      </c>
      <c r="D38" s="192">
        <v>30</v>
      </c>
      <c r="E38" s="105">
        <f t="shared" si="0"/>
        <v>100</v>
      </c>
      <c r="F38" s="56">
        <f>0.013*D38*E38</f>
        <v>38.999999999999993</v>
      </c>
      <c r="G38" s="79">
        <f t="shared" si="1"/>
        <v>20</v>
      </c>
      <c r="H38" s="76" t="s">
        <v>5</v>
      </c>
      <c r="I38" s="196">
        <v>16</v>
      </c>
      <c r="J38" s="30">
        <f>0.54-0.0004*$C$7</f>
        <v>0.45</v>
      </c>
      <c r="K38" s="30">
        <f>$B$38*1000/J38/$C$7</f>
        <v>2962.9629629629626</v>
      </c>
      <c r="L38" s="30">
        <f t="shared" si="2"/>
        <v>98.765432098765416</v>
      </c>
    </row>
    <row r="39" spans="1:12" ht="15" customHeight="1" thickBot="1" x14ac:dyDescent="0.25">
      <c r="A39" s="191"/>
      <c r="B39" s="164"/>
      <c r="C39" s="114">
        <v>1.6</v>
      </c>
      <c r="D39" s="195">
        <v>30</v>
      </c>
      <c r="E39" s="115">
        <f t="shared" si="0"/>
        <v>95</v>
      </c>
      <c r="F39" s="116">
        <f>0.016*D39*E39</f>
        <v>45.6</v>
      </c>
      <c r="G39" s="119">
        <f t="shared" si="1"/>
        <v>18</v>
      </c>
      <c r="H39" s="109" t="s">
        <v>5</v>
      </c>
      <c r="I39" s="199">
        <v>18</v>
      </c>
      <c r="J39" s="30">
        <f>0.62-0.0006*$C$7</f>
        <v>0.48499999999999999</v>
      </c>
      <c r="K39" s="30">
        <f>$B$38*1000/J39/$C$7</f>
        <v>2749.1408934707902</v>
      </c>
      <c r="L39" s="30">
        <f t="shared" si="2"/>
        <v>91.638029782359666</v>
      </c>
    </row>
    <row r="40" spans="1:12" ht="15" customHeight="1" x14ac:dyDescent="0.2">
      <c r="A40" s="187"/>
      <c r="B40" s="188"/>
      <c r="C40" s="74">
        <v>1</v>
      </c>
      <c r="D40" s="192">
        <v>30</v>
      </c>
      <c r="E40" s="105">
        <f t="shared" si="0"/>
        <v>120</v>
      </c>
      <c r="F40" s="56">
        <f>0.01*D40*E40</f>
        <v>36</v>
      </c>
      <c r="G40" s="79">
        <f t="shared" si="1"/>
        <v>18</v>
      </c>
      <c r="H40" s="75" t="s">
        <v>5</v>
      </c>
      <c r="I40" s="196">
        <v>16</v>
      </c>
      <c r="J40" s="30">
        <f>0.51-0.0004*$C$7</f>
        <v>0.42</v>
      </c>
      <c r="K40" s="30">
        <f>$B$41*1000/J40/$C$7</f>
        <v>3492.0634920634925</v>
      </c>
      <c r="L40" s="30">
        <f t="shared" si="2"/>
        <v>116.40211640211642</v>
      </c>
    </row>
    <row r="41" spans="1:12" ht="15" customHeight="1" x14ac:dyDescent="0.2">
      <c r="A41" s="187">
        <v>10</v>
      </c>
      <c r="B41" s="188">
        <v>330</v>
      </c>
      <c r="C41" s="74">
        <v>1.3</v>
      </c>
      <c r="D41" s="192">
        <v>30</v>
      </c>
      <c r="E41" s="105">
        <f t="shared" si="0"/>
        <v>110</v>
      </c>
      <c r="F41" s="56">
        <f>0.013*D41*E41</f>
        <v>42.9</v>
      </c>
      <c r="G41" s="79">
        <f t="shared" si="1"/>
        <v>22</v>
      </c>
      <c r="H41" s="76" t="s">
        <v>5</v>
      </c>
      <c r="I41" s="196">
        <v>16</v>
      </c>
      <c r="J41" s="30">
        <f>0.54-0.0004*$C$7</f>
        <v>0.45</v>
      </c>
      <c r="K41" s="30">
        <f>$B$41*1000/J41/$C$7</f>
        <v>3259.2592592592596</v>
      </c>
      <c r="L41" s="30">
        <f t="shared" si="2"/>
        <v>108.64197530864199</v>
      </c>
    </row>
    <row r="42" spans="1:12" ht="15" customHeight="1" thickBot="1" x14ac:dyDescent="0.25">
      <c r="A42" s="191"/>
      <c r="B42" s="164"/>
      <c r="C42" s="114">
        <v>1.6</v>
      </c>
      <c r="D42" s="195">
        <v>30</v>
      </c>
      <c r="E42" s="115">
        <f t="shared" si="0"/>
        <v>105</v>
      </c>
      <c r="F42" s="116">
        <f>0.016*D42*E42</f>
        <v>50.4</v>
      </c>
      <c r="G42" s="119">
        <f t="shared" si="1"/>
        <v>20</v>
      </c>
      <c r="H42" s="109" t="s">
        <v>5</v>
      </c>
      <c r="I42" s="199">
        <v>18</v>
      </c>
      <c r="J42" s="30">
        <f>0.62-0.0006*$C$7</f>
        <v>0.48499999999999999</v>
      </c>
      <c r="K42" s="30">
        <f>$B$41*1000/J42/$C$7</f>
        <v>3024.0549828178696</v>
      </c>
      <c r="L42" s="30">
        <f t="shared" si="2"/>
        <v>100.80183276059566</v>
      </c>
    </row>
    <row r="43" spans="1:12" ht="15" customHeight="1" x14ac:dyDescent="0.2">
      <c r="A43" s="187"/>
      <c r="B43" s="188"/>
      <c r="C43" s="74">
        <v>1</v>
      </c>
      <c r="D43" s="192">
        <v>30</v>
      </c>
      <c r="E43" s="105">
        <f t="shared" si="0"/>
        <v>130</v>
      </c>
      <c r="F43" s="56">
        <f>0.01*D43*E43</f>
        <v>39</v>
      </c>
      <c r="G43" s="79">
        <f t="shared" si="1"/>
        <v>20</v>
      </c>
      <c r="H43" s="75" t="s">
        <v>5</v>
      </c>
      <c r="I43" s="196">
        <v>16</v>
      </c>
      <c r="J43" s="30">
        <f>0.51-0.0004*$C$7</f>
        <v>0.42</v>
      </c>
      <c r="K43" s="30">
        <f>$B$44*1000/J43/$C$7</f>
        <v>3809.5238095238096</v>
      </c>
      <c r="L43" s="30">
        <f t="shared" si="2"/>
        <v>126.98412698412699</v>
      </c>
    </row>
    <row r="44" spans="1:12" ht="15" customHeight="1" x14ac:dyDescent="0.2">
      <c r="A44" s="187">
        <v>11</v>
      </c>
      <c r="B44" s="188">
        <v>360</v>
      </c>
      <c r="C44" s="74">
        <v>1.3</v>
      </c>
      <c r="D44" s="192">
        <v>30</v>
      </c>
      <c r="E44" s="105">
        <f t="shared" si="0"/>
        <v>120</v>
      </c>
      <c r="F44" s="56">
        <f>0.013*D44*E44</f>
        <v>46.8</v>
      </c>
      <c r="G44" s="79">
        <f t="shared" si="1"/>
        <v>24</v>
      </c>
      <c r="H44" s="76" t="s">
        <v>5</v>
      </c>
      <c r="I44" s="196">
        <v>16</v>
      </c>
      <c r="J44" s="30">
        <f>0.54-0.0004*$C$7</f>
        <v>0.45</v>
      </c>
      <c r="K44" s="30">
        <f>$B$44*1000/J44/$C$7</f>
        <v>3555.5555555555557</v>
      </c>
      <c r="L44" s="30">
        <f t="shared" si="2"/>
        <v>118.51851851851852</v>
      </c>
    </row>
    <row r="45" spans="1:12" ht="15" customHeight="1" thickBot="1" x14ac:dyDescent="0.25">
      <c r="A45" s="113"/>
      <c r="B45" s="46"/>
      <c r="C45" s="114">
        <v>1.6</v>
      </c>
      <c r="D45" s="195">
        <v>30</v>
      </c>
      <c r="E45" s="115">
        <f t="shared" si="0"/>
        <v>110</v>
      </c>
      <c r="F45" s="116">
        <f>0.016*D45*E45</f>
        <v>52.8</v>
      </c>
      <c r="G45" s="119">
        <f t="shared" si="1"/>
        <v>21</v>
      </c>
      <c r="H45" s="109" t="s">
        <v>5</v>
      </c>
      <c r="I45" s="199">
        <v>18</v>
      </c>
      <c r="J45" s="30">
        <f>0.62-0.0006*$C$7</f>
        <v>0.48499999999999999</v>
      </c>
      <c r="K45" s="30">
        <f>$B$44*1000/J45/$C$7</f>
        <v>3298.9690721649486</v>
      </c>
      <c r="L45" s="30">
        <f t="shared" si="2"/>
        <v>109.96563573883162</v>
      </c>
    </row>
  </sheetData>
  <sheetProtection sheet="1" objects="1" scenarios="1"/>
  <mergeCells count="4">
    <mergeCell ref="C4:M4"/>
    <mergeCell ref="D11:E11"/>
    <mergeCell ref="A11:A12"/>
    <mergeCell ref="G11:I12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&amp;R&amp;"Arial,Bold Italic"&amp;9Concrete design using the ultimate limit design method.</oddHeader>
    <oddFooter>&amp;L&amp;"Arial,Bold Italic"&amp;9By: Eng. Mahmoud El-Kateb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7</vt:i4>
      </vt:variant>
    </vt:vector>
  </HeadingPairs>
  <TitlesOfParts>
    <vt:vector size="24" baseType="lpstr">
      <vt:lpstr>Intro</vt:lpstr>
      <vt:lpstr>Coeff</vt:lpstr>
      <vt:lpstr>Slabs</vt:lpstr>
      <vt:lpstr>Flat slab</vt:lpstr>
      <vt:lpstr>Beams</vt:lpstr>
      <vt:lpstr>M,N</vt:lpstr>
      <vt:lpstr>Shear</vt:lpstr>
      <vt:lpstr>Torsion</vt:lpstr>
      <vt:lpstr>Rec-col</vt:lpstr>
      <vt:lpstr>Cir-col</vt:lpstr>
      <vt:lpstr>Footings</vt:lpstr>
      <vt:lpstr>Foot-mom</vt:lpstr>
      <vt:lpstr>Combined</vt:lpstr>
      <vt:lpstr>Strap</vt:lpstr>
      <vt:lpstr>Walls</vt:lpstr>
      <vt:lpstr>Cantilevers</vt:lpstr>
      <vt:lpstr>Simples</vt:lpstr>
      <vt:lpstr>Combined!Print_Area</vt:lpstr>
      <vt:lpstr>Footings!Print_Area</vt:lpstr>
      <vt:lpstr>'Foot-mom'!Print_Area</vt:lpstr>
      <vt:lpstr>Intro!Print_Area</vt:lpstr>
      <vt:lpstr>'M,N'!Print_Area</vt:lpstr>
      <vt:lpstr>Shear!Print_Area</vt:lpstr>
      <vt:lpstr>Strap!Print_Area</vt:lpstr>
    </vt:vector>
  </TitlesOfParts>
  <Company>هندسة عين شمس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م/حامد حامد الجمال</dc:creator>
  <cp:lastModifiedBy>NASSER</cp:lastModifiedBy>
  <cp:lastPrinted>2002-01-03T11:03:53Z</cp:lastPrinted>
  <dcterms:created xsi:type="dcterms:W3CDTF">2000-01-05T22:48:31Z</dcterms:created>
  <dcterms:modified xsi:type="dcterms:W3CDTF">2014-09-21T17:03:10Z</dcterms:modified>
</cp:coreProperties>
</file>